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OHL\Propuesta 1\PDF\PROPUESTAS TÉCNICO, ECONÓMICA Y DE SEGURIDAD Y MEDIO AMBIENTE\"/>
    </mc:Choice>
  </mc:AlternateContent>
  <xr:revisionPtr revIDLastSave="0" documentId="13_ncr:1_{8B4353FF-4E87-4F6D-ABD6-507ECD3FEBD3}" xr6:coauthVersionLast="47" xr6:coauthVersionMax="47" xr10:uidLastSave="{00000000-0000-0000-0000-000000000000}"/>
  <bookViews>
    <workbookView xWindow="-108" yWindow="-108" windowWidth="23256" windowHeight="12720" tabRatio="704" xr2:uid="{00000000-000D-0000-FFFF-FFFF00000000}"/>
  </bookViews>
  <sheets>
    <sheet name="PRESUPUESTO" sheetId="8" r:id="rId1"/>
    <sheet name="GASTOS GENERALES" sheetId="1" r:id="rId2"/>
    <sheet name="EPPS" sheetId="9" r:id="rId3"/>
    <sheet name="GG FIJO" sheetId="2" r:id="rId4"/>
    <sheet name="GG VARIABLE" sheetId="3" r:id="rId5"/>
    <sheet name="Mat. Seguridad" sheetId="6" r:id="rId6"/>
    <sheet name="Gestión Amb." sheetId="5" r:id="rId7"/>
    <sheet name="Seguros" sheetId="4" r:id="rId8"/>
  </sheets>
  <externalReferences>
    <externalReference r:id="rId9"/>
    <externalReference r:id="rId10"/>
    <externalReference r:id="rId11"/>
    <externalReference r:id="rId12"/>
  </externalReferences>
  <definedNames>
    <definedName name="__123Graph_AGraph10" localSheetId="1" hidden="1">[1]EXP!#REF!</definedName>
    <definedName name="__123Graph_AGraph10" localSheetId="5" hidden="1">[1]EXP!#REF!</definedName>
    <definedName name="__123Graph_AGraph10" hidden="1">[1]EXP!#REF!</definedName>
    <definedName name="__123Graph_AGraph11" localSheetId="1" hidden="1">[1]EXP!#REF!</definedName>
    <definedName name="__123Graph_AGraph11" localSheetId="5" hidden="1">[1]EXP!#REF!</definedName>
    <definedName name="__123Graph_AGraph11" hidden="1">[1]EXP!#REF!</definedName>
    <definedName name="__123Graph_AGraph12" localSheetId="1" hidden="1">[1]EXP!#REF!</definedName>
    <definedName name="__123Graph_AGraph12" localSheetId="5" hidden="1">[1]EXP!#REF!</definedName>
    <definedName name="__123Graph_AGraph12" hidden="1">[1]EXP!#REF!</definedName>
    <definedName name="__123Graph_AGraph13" localSheetId="1" hidden="1">[1]EXP!#REF!</definedName>
    <definedName name="__123Graph_AGraph13" localSheetId="5" hidden="1">[1]EXP!#REF!</definedName>
    <definedName name="__123Graph_AGraph13" hidden="1">[1]EXP!#REF!</definedName>
    <definedName name="__123Graph_AGraph14" localSheetId="1" hidden="1">[1]EXP!#REF!</definedName>
    <definedName name="__123Graph_AGraph14" localSheetId="5" hidden="1">[1]EXP!#REF!</definedName>
    <definedName name="__123Graph_AGraph14" hidden="1">[1]EXP!#REF!</definedName>
    <definedName name="__123Graph_AGraph15" localSheetId="1" hidden="1">[1]EXP!#REF!</definedName>
    <definedName name="__123Graph_AGraph15" localSheetId="5" hidden="1">[1]EXP!#REF!</definedName>
    <definedName name="__123Graph_AGraph15" hidden="1">[1]EXP!#REF!</definedName>
    <definedName name="__123Graph_AGraph16" localSheetId="1" hidden="1">[1]EXP!#REF!</definedName>
    <definedName name="__123Graph_AGraph16" localSheetId="5" hidden="1">[1]EXP!#REF!</definedName>
    <definedName name="__123Graph_AGraph16" hidden="1">[1]EXP!#REF!</definedName>
    <definedName name="__123Graph_AGraph17" localSheetId="1" hidden="1">[1]EXP!#REF!</definedName>
    <definedName name="__123Graph_AGraph17" localSheetId="5" hidden="1">[1]EXP!#REF!</definedName>
    <definedName name="__123Graph_AGraph17" hidden="1">[1]EXP!#REF!</definedName>
    <definedName name="__123Graph_AGraph18" localSheetId="1" hidden="1">[1]EXP!#REF!</definedName>
    <definedName name="__123Graph_AGraph18" localSheetId="5" hidden="1">[1]EXP!#REF!</definedName>
    <definedName name="__123Graph_AGraph18" hidden="1">[1]EXP!#REF!</definedName>
    <definedName name="__123Graph_AGraph2" localSheetId="1" hidden="1">[1]EXP!#REF!</definedName>
    <definedName name="__123Graph_AGraph2" localSheetId="5" hidden="1">[1]EXP!#REF!</definedName>
    <definedName name="__123Graph_AGraph2" hidden="1">[1]EXP!#REF!</definedName>
    <definedName name="__123Graph_AGraph3" localSheetId="1" hidden="1">[1]EXP!#REF!</definedName>
    <definedName name="__123Graph_AGraph3" localSheetId="5" hidden="1">[1]EXP!#REF!</definedName>
    <definedName name="__123Graph_AGraph3" hidden="1">[1]EXP!#REF!</definedName>
    <definedName name="__123Graph_AGraph4" localSheetId="1" hidden="1">[1]EXP!#REF!</definedName>
    <definedName name="__123Graph_AGraph4" localSheetId="5" hidden="1">[1]EXP!#REF!</definedName>
    <definedName name="__123Graph_AGraph4" hidden="1">[1]EXP!#REF!</definedName>
    <definedName name="__123Graph_AGraph5" localSheetId="1" hidden="1">[1]EXP!#REF!</definedName>
    <definedName name="__123Graph_AGraph5" localSheetId="5" hidden="1">[1]EXP!#REF!</definedName>
    <definedName name="__123Graph_AGraph5" hidden="1">[1]EXP!#REF!</definedName>
    <definedName name="__123Graph_AGraph6" localSheetId="1" hidden="1">[1]EXP!#REF!</definedName>
    <definedName name="__123Graph_AGraph6" localSheetId="5" hidden="1">[1]EXP!#REF!</definedName>
    <definedName name="__123Graph_AGraph6" hidden="1">[1]EXP!#REF!</definedName>
    <definedName name="__123Graph_AGraph7" localSheetId="1" hidden="1">[1]EXP!#REF!</definedName>
    <definedName name="__123Graph_AGraph7" localSheetId="5" hidden="1">[1]EXP!#REF!</definedName>
    <definedName name="__123Graph_AGraph7" hidden="1">[1]EXP!#REF!</definedName>
    <definedName name="__123Graph_AGraph8" localSheetId="1" hidden="1">[1]EXP!#REF!</definedName>
    <definedName name="__123Graph_AGraph8" localSheetId="5" hidden="1">[1]EXP!#REF!</definedName>
    <definedName name="__123Graph_AGraph8" hidden="1">[1]EXP!#REF!</definedName>
    <definedName name="__123Graph_AGraph9" localSheetId="1" hidden="1">[1]EXP!#REF!</definedName>
    <definedName name="__123Graph_AGraph9" localSheetId="5" hidden="1">[1]EXP!#REF!</definedName>
    <definedName name="__123Graph_AGraph9" hidden="1">[1]EXP!#REF!</definedName>
    <definedName name="__123Graph_X" localSheetId="1" hidden="1">'[2]F-05'!#REF!</definedName>
    <definedName name="__123Graph_X" localSheetId="5" hidden="1">'[2]F-05'!#REF!</definedName>
    <definedName name="__123Graph_X" hidden="1">'[2]F-05'!#REF!</definedName>
    <definedName name="__123Graph_XGRA1" localSheetId="1" hidden="1">'[2]F-05'!#REF!</definedName>
    <definedName name="__123Graph_XGRA1" localSheetId="5" hidden="1">'[2]F-05'!#REF!</definedName>
    <definedName name="__123Graph_XGRA1" hidden="1">'[2]F-05'!#REF!</definedName>
    <definedName name="__123Graph_XGRA2" localSheetId="1" hidden="1">'[2]F-05'!#REF!</definedName>
    <definedName name="__123Graph_XGRA2" localSheetId="5" hidden="1">'[2]F-05'!#REF!</definedName>
    <definedName name="__123Graph_XGRA2" hidden="1">'[2]F-05'!#REF!</definedName>
    <definedName name="__123Graph_XGraph10" localSheetId="1" hidden="1">[1]EXP!#REF!</definedName>
    <definedName name="__123Graph_XGraph10" localSheetId="5" hidden="1">[1]EXP!#REF!</definedName>
    <definedName name="__123Graph_XGraph10" hidden="1">[1]EXP!#REF!</definedName>
    <definedName name="__123Graph_XGraph11" localSheetId="1" hidden="1">[1]EXP!#REF!</definedName>
    <definedName name="__123Graph_XGraph11" localSheetId="5" hidden="1">[1]EXP!#REF!</definedName>
    <definedName name="__123Graph_XGraph11" hidden="1">[1]EXP!#REF!</definedName>
    <definedName name="__123Graph_XGraph12" localSheetId="1" hidden="1">[1]EXP!#REF!</definedName>
    <definedName name="__123Graph_XGraph12" localSheetId="5" hidden="1">[1]EXP!#REF!</definedName>
    <definedName name="__123Graph_XGraph12" hidden="1">[1]EXP!#REF!</definedName>
    <definedName name="__123Graph_XGraph13" localSheetId="1" hidden="1">[1]EXP!#REF!</definedName>
    <definedName name="__123Graph_XGraph13" localSheetId="5" hidden="1">[1]EXP!#REF!</definedName>
    <definedName name="__123Graph_XGraph13" hidden="1">[1]EXP!#REF!</definedName>
    <definedName name="__123Graph_XGraph14" localSheetId="1" hidden="1">[1]EXP!#REF!</definedName>
    <definedName name="__123Graph_XGraph14" localSheetId="5" hidden="1">[1]EXP!#REF!</definedName>
    <definedName name="__123Graph_XGraph14" hidden="1">[1]EXP!#REF!</definedName>
    <definedName name="__123Graph_XGraph15" localSheetId="1" hidden="1">[1]EXP!#REF!</definedName>
    <definedName name="__123Graph_XGraph15" localSheetId="5" hidden="1">[1]EXP!#REF!</definedName>
    <definedName name="__123Graph_XGraph15" hidden="1">[1]EXP!#REF!</definedName>
    <definedName name="__123Graph_XGraph16" localSheetId="1" hidden="1">[1]EXP!#REF!</definedName>
    <definedName name="__123Graph_XGraph16" localSheetId="5" hidden="1">[1]EXP!#REF!</definedName>
    <definedName name="__123Graph_XGraph16" hidden="1">[1]EXP!#REF!</definedName>
    <definedName name="__123Graph_XGraph17" localSheetId="1" hidden="1">[1]EXP!#REF!</definedName>
    <definedName name="__123Graph_XGraph17" localSheetId="5" hidden="1">[1]EXP!#REF!</definedName>
    <definedName name="__123Graph_XGraph17" hidden="1">[1]EXP!#REF!</definedName>
    <definedName name="__123Graph_XGraph18" localSheetId="1" hidden="1">[1]EXP!#REF!</definedName>
    <definedName name="__123Graph_XGraph18" localSheetId="5" hidden="1">[1]EXP!#REF!</definedName>
    <definedName name="__123Graph_XGraph18" hidden="1">[1]EXP!#REF!</definedName>
    <definedName name="__123Graph_XGraph3" localSheetId="1" hidden="1">[1]EXP!#REF!</definedName>
    <definedName name="__123Graph_XGraph3" localSheetId="5" hidden="1">[1]EXP!#REF!</definedName>
    <definedName name="__123Graph_XGraph3" hidden="1">[1]EXP!#REF!</definedName>
    <definedName name="__123Graph_XGraph4" localSheetId="1" hidden="1">[1]EXP!#REF!</definedName>
    <definedName name="__123Graph_XGraph4" localSheetId="5" hidden="1">[1]EXP!#REF!</definedName>
    <definedName name="__123Graph_XGraph4" hidden="1">[1]EXP!#REF!</definedName>
    <definedName name="__123Graph_XGraph5" localSheetId="1" hidden="1">[1]EXP!#REF!</definedName>
    <definedName name="__123Graph_XGraph5" localSheetId="5" hidden="1">[1]EXP!#REF!</definedName>
    <definedName name="__123Graph_XGraph5" hidden="1">[1]EXP!#REF!</definedName>
    <definedName name="__123Graph_XGraph6" localSheetId="1" hidden="1">[1]EXP!#REF!</definedName>
    <definedName name="__123Graph_XGraph6" localSheetId="5" hidden="1">[1]EXP!#REF!</definedName>
    <definedName name="__123Graph_XGraph6" hidden="1">[1]EXP!#REF!</definedName>
    <definedName name="__123Graph_XGraph7" localSheetId="1" hidden="1">[1]EXP!#REF!</definedName>
    <definedName name="__123Graph_XGraph7" localSheetId="5" hidden="1">[1]EXP!#REF!</definedName>
    <definedName name="__123Graph_XGraph7" hidden="1">[1]EXP!#REF!</definedName>
    <definedName name="__123Graph_XGraph8" localSheetId="1" hidden="1">[1]EXP!#REF!</definedName>
    <definedName name="__123Graph_XGraph8" localSheetId="5" hidden="1">[1]EXP!#REF!</definedName>
    <definedName name="__123Graph_XGraph8" hidden="1">[1]EXP!#REF!</definedName>
    <definedName name="__123Graph_XGraph9" localSheetId="1" hidden="1">[1]EXP!#REF!</definedName>
    <definedName name="__123Graph_XGraph9" localSheetId="5" hidden="1">[1]EXP!#REF!</definedName>
    <definedName name="__123Graph_XGraph9" hidden="1">[1]EXP!#REF!</definedName>
    <definedName name="_Fill" localSheetId="1" hidden="1">'[2]F-05'!#REF!</definedName>
    <definedName name="_Fill" localSheetId="5" hidden="1">'[2]F-05'!#REF!</definedName>
    <definedName name="_Fill" hidden="1">'[2]F-05'!#REF!</definedName>
    <definedName name="_Key1" localSheetId="1" hidden="1">#REF!</definedName>
    <definedName name="_Key1" localSheetId="5" hidden="1">#REF!</definedName>
    <definedName name="_Key1" hidden="1">#REF!</definedName>
    <definedName name="_Order1" hidden="1">255</definedName>
    <definedName name="_Order2" hidden="1">255</definedName>
    <definedName name="_Sort" localSheetId="1" hidden="1">#REF!</definedName>
    <definedName name="_Sort" localSheetId="5" hidden="1">#REF!</definedName>
    <definedName name="_Sort" hidden="1">#REF!</definedName>
    <definedName name="_xlnm.Print_Area" localSheetId="2">EPPS!$A$1:$K$20</definedName>
    <definedName name="_xlnm.Print_Area" localSheetId="1">'GASTOS GENERALES'!$A$2:$G$35</definedName>
    <definedName name="_xlnm.Print_Area" localSheetId="6">'Gestión Amb.'!$A$1:$G$10</definedName>
    <definedName name="_xlnm.Print_Area" localSheetId="3">'GG FIJO'!$A$1:$G$49</definedName>
    <definedName name="_xlnm.Print_Area" localSheetId="4">'GG VARIABLE'!$A$9:$G$123</definedName>
    <definedName name="_xlnm.Print_Area" localSheetId="0">PRESUPUESTO!$B$8:$G$60</definedName>
    <definedName name="_xlnm.Print_Area" localSheetId="7">Seguros!$A$1:$M$48</definedName>
    <definedName name="graf" localSheetId="1" hidden="1">'[3]LIMA-CANTA'!#REF!</definedName>
    <definedName name="graf" localSheetId="5" hidden="1">'[3]LIMA-CANTA'!#REF!</definedName>
    <definedName name="graf" hidden="1">'[3]LIMA-CANTA'!#REF!</definedName>
    <definedName name="graph0" localSheetId="1" hidden="1">'[3]LIMA-CANTA'!#REF!</definedName>
    <definedName name="graph0" localSheetId="5" hidden="1">'[3]LIMA-CANTA'!#REF!</definedName>
    <definedName name="graph0" hidden="1">'[3]LIMA-CANTA'!#REF!</definedName>
    <definedName name="Graph1" localSheetId="1" hidden="1">'[3]LIMA-CANTA'!#REF!</definedName>
    <definedName name="Graph1" localSheetId="5" hidden="1">'[3]LIMA-CANTA'!#REF!</definedName>
    <definedName name="Graph1" hidden="1">'[3]LIMA-CANTA'!#REF!</definedName>
    <definedName name="_xlnm.Print_Titles" localSheetId="6">'Gestión Amb.'!$1:$2</definedName>
    <definedName name="_xlnm.Print_Titles" localSheetId="4">'GG VARIABLE'!$1:$7</definedName>
    <definedName name="_xlnm.Print_Titles" localSheetId="0">PRESUPUESTO!$1:$7</definedName>
    <definedName name="viuda" localSheetId="1" hidden="1">'[3]LIMA-CANTA'!#REF!</definedName>
    <definedName name="viuda" localSheetId="5" hidden="1">'[3]LIMA-CANTA'!#REF!</definedName>
    <definedName name="viuda" hidden="1">'[3]LIMA-CANTA'!#REF!</definedName>
    <definedName name="w" localSheetId="1" hidden="1">'[3]LIMA-CANTA'!#REF!</definedName>
    <definedName name="w" localSheetId="5" hidden="1">'[3]LIMA-CANTA'!#REF!</definedName>
    <definedName name="w" hidden="1">'[3]LIMA-CANTA'!#REF!</definedName>
    <definedName name="wra" localSheetId="1" hidden="1">'[3]LIMA-CANTA'!#REF!</definedName>
    <definedName name="wra" localSheetId="5" hidden="1">'[3]LIMA-CANTA'!#REF!</definedName>
    <definedName name="wra" hidden="1">'[3]LIMA-CANTA'!#REF!</definedName>
    <definedName name="xGraph11" localSheetId="1" hidden="1">'[3]LIMA-CANTA'!#REF!</definedName>
    <definedName name="xGraph11" localSheetId="5" hidden="1">'[3]LIMA-CANTA'!#REF!</definedName>
    <definedName name="xGraph11" hidden="1">'[3]LIMA-CANTA'!#REF!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8" l="1"/>
  <c r="F52" i="8"/>
  <c r="F49" i="8"/>
  <c r="F46" i="8"/>
  <c r="F45" i="8"/>
  <c r="F44" i="8"/>
  <c r="F43" i="8"/>
  <c r="F42" i="8"/>
  <c r="F41" i="8"/>
  <c r="F39" i="8"/>
  <c r="F36" i="8"/>
  <c r="F35" i="8"/>
  <c r="F33" i="8"/>
  <c r="F29" i="8"/>
  <c r="F28" i="8"/>
  <c r="F26" i="8"/>
  <c r="F24" i="8"/>
  <c r="F23" i="8"/>
  <c r="F19" i="8"/>
  <c r="F18" i="8"/>
  <c r="F17" i="8"/>
  <c r="F14" i="8"/>
  <c r="F13" i="8"/>
  <c r="F11" i="8"/>
  <c r="F10" i="8"/>
  <c r="F9" i="8"/>
  <c r="F50" i="8" l="1"/>
  <c r="F38" i="8"/>
  <c r="F31" i="8" l="1"/>
  <c r="F27" i="8"/>
  <c r="F21" i="8"/>
  <c r="F20" i="8"/>
  <c r="F37" i="8" l="1"/>
  <c r="F32" i="8"/>
  <c r="F25" i="8"/>
  <c r="D65" i="3" l="1"/>
  <c r="D64" i="3"/>
  <c r="D44" i="3" l="1"/>
  <c r="F8" i="1"/>
  <c r="G8" i="1"/>
  <c r="D56" i="8"/>
  <c r="F16" i="3"/>
  <c r="E16" i="3"/>
  <c r="E15" i="3"/>
  <c r="E14" i="3"/>
  <c r="E13" i="3"/>
  <c r="F44" i="3"/>
  <c r="F43" i="3"/>
  <c r="F42" i="3"/>
  <c r="F106" i="3"/>
  <c r="F105" i="3"/>
  <c r="F104" i="3"/>
  <c r="F103" i="3"/>
  <c r="F101" i="3"/>
  <c r="F100" i="3"/>
  <c r="F99" i="3"/>
  <c r="F98" i="3"/>
  <c r="F97" i="3"/>
  <c r="F96" i="3"/>
  <c r="F92" i="3"/>
  <c r="F91" i="3"/>
  <c r="F90" i="3"/>
  <c r="F89" i="3"/>
  <c r="F88" i="3"/>
  <c r="F84" i="3"/>
  <c r="F83" i="3"/>
  <c r="F82" i="3"/>
  <c r="F79" i="3"/>
  <c r="F73" i="3"/>
  <c r="F52" i="3"/>
  <c r="F50" i="3"/>
  <c r="F49" i="3"/>
  <c r="F48" i="3"/>
  <c r="F36" i="3"/>
  <c r="F35" i="3"/>
  <c r="F34" i="3"/>
  <c r="F33" i="3"/>
  <c r="F32" i="3"/>
  <c r="F31" i="3"/>
  <c r="F30" i="3"/>
  <c r="F29" i="3"/>
  <c r="F28" i="3"/>
  <c r="E12" i="3"/>
  <c r="F24" i="3"/>
  <c r="F23" i="3"/>
  <c r="F22" i="3"/>
  <c r="F21" i="3"/>
  <c r="F20" i="3"/>
  <c r="F19" i="3"/>
  <c r="F18" i="3"/>
  <c r="F13" i="3"/>
  <c r="B13" i="3"/>
  <c r="G29" i="2"/>
  <c r="F10" i="2"/>
  <c r="F11" i="2"/>
  <c r="F12" i="2"/>
  <c r="F13" i="2"/>
  <c r="F14" i="2"/>
  <c r="F42" i="2"/>
  <c r="F41" i="2"/>
  <c r="F40" i="2"/>
  <c r="F39" i="2"/>
  <c r="F38" i="2"/>
  <c r="G53" i="8"/>
  <c r="G52" i="8"/>
  <c r="G50" i="8"/>
  <c r="G49" i="8"/>
  <c r="G46" i="8"/>
  <c r="G45" i="8"/>
  <c r="G44" i="8"/>
  <c r="G43" i="8"/>
  <c r="G42" i="8"/>
  <c r="G41" i="8"/>
  <c r="G39" i="8"/>
  <c r="G38" i="8"/>
  <c r="G37" i="8"/>
  <c r="G36" i="8"/>
  <c r="G35" i="8"/>
  <c r="G33" i="8"/>
  <c r="G32" i="8"/>
  <c r="G31" i="8"/>
  <c r="G29" i="8"/>
  <c r="G28" i="8"/>
  <c r="G27" i="8"/>
  <c r="G26" i="8"/>
  <c r="G25" i="8"/>
  <c r="G24" i="8"/>
  <c r="G23" i="8"/>
  <c r="G21" i="8"/>
  <c r="G20" i="8"/>
  <c r="G19" i="8"/>
  <c r="G18" i="8"/>
  <c r="G17" i="8"/>
  <c r="G14" i="8"/>
  <c r="G13" i="8"/>
  <c r="G11" i="8"/>
  <c r="G10" i="8"/>
  <c r="G9" i="8"/>
  <c r="G38" i="1"/>
  <c r="G48" i="8" l="1"/>
  <c r="G51" i="8"/>
  <c r="G12" i="8"/>
  <c r="G8" i="8"/>
  <c r="G16" i="8"/>
  <c r="G13" i="3"/>
  <c r="G22" i="8"/>
  <c r="G34" i="8"/>
  <c r="G40" i="8"/>
  <c r="G30" i="8"/>
  <c r="E19" i="9"/>
  <c r="K19" i="9"/>
  <c r="F65" i="3" s="1"/>
  <c r="H19" i="9"/>
  <c r="F64" i="3" s="1"/>
  <c r="B19" i="9"/>
  <c r="G47" i="8" l="1"/>
  <c r="G15" i="8"/>
  <c r="F63" i="3"/>
  <c r="F62" i="3"/>
  <c r="F57" i="3"/>
  <c r="G55" i="8" l="1"/>
  <c r="F12" i="1" s="1"/>
  <c r="G36" i="2"/>
  <c r="G34" i="2"/>
  <c r="F17" i="3"/>
  <c r="G32" i="2"/>
  <c r="G31" i="2"/>
  <c r="G30" i="2"/>
  <c r="G78" i="3"/>
  <c r="I26" i="6"/>
  <c r="I25" i="6"/>
  <c r="I24" i="6"/>
  <c r="I23" i="6"/>
  <c r="I22" i="6"/>
  <c r="I21" i="6"/>
  <c r="I20" i="6"/>
  <c r="I19" i="6"/>
  <c r="I18" i="6"/>
  <c r="I16" i="6"/>
  <c r="I15" i="6"/>
  <c r="I14" i="6"/>
  <c r="I13" i="6"/>
  <c r="I12" i="6"/>
  <c r="I11" i="6"/>
  <c r="I9" i="6"/>
  <c r="I8" i="6"/>
  <c r="D17" i="6"/>
  <c r="I17" i="6" s="1"/>
  <c r="D35" i="3"/>
  <c r="D34" i="3"/>
  <c r="B16" i="3"/>
  <c r="B15" i="3"/>
  <c r="B14" i="3"/>
  <c r="B12" i="3"/>
  <c r="F74" i="3"/>
  <c r="B74" i="3"/>
  <c r="B73" i="3"/>
  <c r="G23" i="2"/>
  <c r="F32" i="4"/>
  <c r="F7" i="5"/>
  <c r="F6" i="5"/>
  <c r="F12" i="3"/>
  <c r="F24" i="2"/>
  <c r="E63" i="3"/>
  <c r="I27" i="6" l="1"/>
  <c r="F15" i="3"/>
  <c r="F14" i="3"/>
  <c r="E64" i="3"/>
  <c r="G17" i="3" l="1"/>
  <c r="F69" i="3" l="1"/>
  <c r="G7" i="5"/>
  <c r="G6" i="5"/>
  <c r="G8" i="5" l="1"/>
  <c r="D42" i="3" l="1"/>
  <c r="D62" i="3" s="1"/>
  <c r="G73" i="3" l="1"/>
  <c r="D43" i="3" l="1"/>
  <c r="D63" i="3" s="1"/>
  <c r="D68" i="3" s="1"/>
  <c r="J38" i="1" l="1"/>
  <c r="G48" i="3" l="1"/>
  <c r="G74" i="3" l="1"/>
  <c r="G75" i="3" l="1"/>
  <c r="G66" i="3" l="1"/>
  <c r="G79" i="3" l="1"/>
  <c r="G80" i="3"/>
  <c r="E42" i="3" l="1"/>
  <c r="G12" i="4" l="1"/>
  <c r="G18" i="4" s="1"/>
  <c r="E67" i="3"/>
  <c r="G67" i="3" s="1"/>
  <c r="G57" i="3"/>
  <c r="G49" i="3"/>
  <c r="G44" i="3"/>
  <c r="G43" i="3"/>
  <c r="G42" i="3"/>
  <c r="G42" i="2"/>
  <c r="G41" i="2"/>
  <c r="G40" i="2"/>
  <c r="G39" i="2"/>
  <c r="G38" i="2"/>
  <c r="G35" i="2"/>
  <c r="G33" i="2"/>
  <c r="G28" i="2"/>
  <c r="G24" i="2"/>
  <c r="E19" i="2"/>
  <c r="G19" i="2" s="1"/>
  <c r="B19" i="2"/>
  <c r="E18" i="2"/>
  <c r="G18" i="2" s="1"/>
  <c r="B18" i="2"/>
  <c r="E14" i="2"/>
  <c r="G14" i="2" s="1"/>
  <c r="E13" i="2"/>
  <c r="G13" i="2" s="1"/>
  <c r="E12" i="2"/>
  <c r="G12" i="2" s="1"/>
  <c r="E11" i="2"/>
  <c r="G11" i="2" s="1"/>
  <c r="E10" i="2"/>
  <c r="G10" i="2" s="1"/>
  <c r="F37" i="2" l="1"/>
  <c r="G37" i="2" s="1"/>
  <c r="G43" i="2" s="1"/>
  <c r="G97" i="3"/>
  <c r="G15" i="2"/>
  <c r="G30" i="4"/>
  <c r="M32" i="4" s="1"/>
  <c r="G118" i="3" s="1"/>
  <c r="G24" i="4"/>
  <c r="G25" i="2"/>
  <c r="G20" i="2"/>
  <c r="G68" i="3"/>
  <c r="E65" i="3"/>
  <c r="G65" i="3" s="1"/>
  <c r="G64" i="3"/>
  <c r="G12" i="3"/>
  <c r="G96" i="3"/>
  <c r="G56" i="3"/>
  <c r="G58" i="3" s="1"/>
  <c r="G62" i="3"/>
  <c r="G45" i="3"/>
  <c r="G14" i="3"/>
  <c r="G38" i="4" l="1"/>
  <c r="G103" i="3"/>
  <c r="E21" i="3"/>
  <c r="G28" i="3"/>
  <c r="G19" i="3"/>
  <c r="G51" i="3"/>
  <c r="E69" i="3"/>
  <c r="G69" i="3" s="1"/>
  <c r="G63" i="3"/>
  <c r="G50" i="3"/>
  <c r="G16" i="3"/>
  <c r="G15" i="3"/>
  <c r="G82" i="3"/>
  <c r="G52" i="3"/>
  <c r="G104" i="3"/>
  <c r="G98" i="3"/>
  <c r="G53" i="3" l="1"/>
  <c r="E22" i="3"/>
  <c r="G29" i="3"/>
  <c r="G70" i="3"/>
  <c r="E31" i="3"/>
  <c r="G30" i="3"/>
  <c r="G18" i="3"/>
  <c r="G105" i="3"/>
  <c r="G99" i="3"/>
  <c r="E88" i="3"/>
  <c r="E89" i="3" s="1"/>
  <c r="G81" i="3"/>
  <c r="E24" i="3" l="1"/>
  <c r="E23" i="3"/>
  <c r="G23" i="3" s="1"/>
  <c r="E90" i="3"/>
  <c r="G89" i="3"/>
  <c r="E32" i="3"/>
  <c r="G31" i="3"/>
  <c r="G88" i="3"/>
  <c r="G106" i="3"/>
  <c r="G101" i="3"/>
  <c r="G100" i="3"/>
  <c r="G32" i="3" l="1"/>
  <c r="E33" i="3"/>
  <c r="E34" i="3" s="1"/>
  <c r="G24" i="3"/>
  <c r="G20" i="3"/>
  <c r="F102" i="3"/>
  <c r="G84" i="3"/>
  <c r="G83" i="3"/>
  <c r="G90" i="3"/>
  <c r="E91" i="3"/>
  <c r="G102" i="3" l="1"/>
  <c r="G107" i="3" s="1"/>
  <c r="E35" i="3"/>
  <c r="G35" i="3" s="1"/>
  <c r="G34" i="3"/>
  <c r="E36" i="3"/>
  <c r="G36" i="3" s="1"/>
  <c r="G33" i="3"/>
  <c r="G21" i="3"/>
  <c r="E92" i="3"/>
  <c r="G91" i="3"/>
  <c r="G85" i="3"/>
  <c r="F37" i="3" l="1"/>
  <c r="G37" i="3" s="1"/>
  <c r="G38" i="3" s="1"/>
  <c r="G92" i="3"/>
  <c r="G93" i="3" l="1"/>
  <c r="G22" i="3" l="1"/>
  <c r="F25" i="3" l="1"/>
  <c r="G25" i="3" s="1"/>
  <c r="G26" i="3" l="1"/>
  <c r="G39" i="3" s="1"/>
  <c r="F20" i="4" l="1"/>
  <c r="M20" i="4" s="1"/>
  <c r="G116" i="3" s="1"/>
  <c r="F26" i="4"/>
  <c r="M26" i="4" s="1"/>
  <c r="G117" i="3" s="1"/>
  <c r="C5" i="3" l="1"/>
  <c r="G6" i="4"/>
  <c r="D5" i="2"/>
  <c r="F46" i="2" s="1"/>
  <c r="G46" i="2" s="1"/>
  <c r="G47" i="2" s="1"/>
  <c r="G49" i="2" s="1"/>
  <c r="F17" i="1" s="1"/>
  <c r="G17" i="1" s="1"/>
  <c r="F26" i="1"/>
  <c r="G56" i="8" s="1"/>
  <c r="G36" i="4" l="1"/>
  <c r="F14" i="4"/>
  <c r="M14" i="4" s="1"/>
  <c r="F111" i="3"/>
  <c r="G111" i="3" s="1"/>
  <c r="F110" i="3"/>
  <c r="G110" i="3" s="1"/>
  <c r="G112" i="3" l="1"/>
  <c r="G35" i="4"/>
  <c r="F39" i="4" s="1"/>
  <c r="M39" i="4" s="1"/>
  <c r="M36" i="4"/>
  <c r="G115" i="3"/>
  <c r="M41" i="4" l="1"/>
  <c r="G119" i="3" l="1"/>
  <c r="M44" i="4"/>
  <c r="M46" i="4" l="1"/>
  <c r="G120" i="3" s="1"/>
  <c r="G121" i="3" s="1"/>
  <c r="G123" i="3" l="1"/>
  <c r="F20" i="1" s="1"/>
  <c r="M48" i="4"/>
  <c r="G20" i="1" l="1"/>
  <c r="F24" i="1"/>
  <c r="G24" i="1" l="1"/>
  <c r="G57" i="8"/>
  <c r="G58" i="8" s="1"/>
  <c r="G59" i="8" s="1"/>
  <c r="G60" i="8" s="1"/>
  <c r="F28" i="1"/>
  <c r="F31" i="1" s="1"/>
  <c r="F34" i="1" s="1"/>
  <c r="F43" i="1" s="1"/>
  <c r="D57" i="8" l="1"/>
</calcChain>
</file>

<file path=xl/sharedStrings.xml><?xml version="1.0" encoding="utf-8"?>
<sst xmlns="http://schemas.openxmlformats.org/spreadsheetml/2006/main" count="696" uniqueCount="444">
  <si>
    <t>%</t>
  </si>
  <si>
    <t>COSTO DIRECTO</t>
  </si>
  <si>
    <t>1.-</t>
  </si>
  <si>
    <t>GASTOS GENERALES</t>
  </si>
  <si>
    <t>A.-</t>
  </si>
  <si>
    <t>GASTOS FIJOS</t>
  </si>
  <si>
    <t>No directamente relacionados con el tiempo</t>
  </si>
  <si>
    <t>B.-</t>
  </si>
  <si>
    <t>GASTOS VARIABLES</t>
  </si>
  <si>
    <t>Directamente relacionados con el tiempo</t>
  </si>
  <si>
    <t>TOTAL DE GASTOS GENERALES</t>
  </si>
  <si>
    <t>UTILIDAD</t>
  </si>
  <si>
    <t>2.-</t>
  </si>
  <si>
    <t>I.G.V.</t>
  </si>
  <si>
    <t>GASTOS GENERALES FIJOS</t>
  </si>
  <si>
    <t>DURACION DE LA OBRA (MESES)</t>
  </si>
  <si>
    <t>ITEM</t>
  </si>
  <si>
    <t>DESCRIPCION</t>
  </si>
  <si>
    <t>UNIDAD</t>
  </si>
  <si>
    <t>CANTIDAD</t>
  </si>
  <si>
    <t>VALOR UNITARIO</t>
  </si>
  <si>
    <t>VALOR TOTAL</t>
  </si>
  <si>
    <t>DESCR</t>
  </si>
  <si>
    <t>TIEMPO</t>
  </si>
  <si>
    <t>1.00</t>
  </si>
  <si>
    <t>PATIO DE MAQUINAS</t>
  </si>
  <si>
    <t>1.01</t>
  </si>
  <si>
    <t xml:space="preserve">Almacenes </t>
  </si>
  <si>
    <t>1.02</t>
  </si>
  <si>
    <t>m2</t>
  </si>
  <si>
    <t>1.03</t>
  </si>
  <si>
    <t>Zona Descanso Ingenieros</t>
  </si>
  <si>
    <t>1.04</t>
  </si>
  <si>
    <t>Zona Descanso Empleados y Técnicos</t>
  </si>
  <si>
    <t>1.05</t>
  </si>
  <si>
    <t>Zona de  Descanso Operadores y Obreros</t>
  </si>
  <si>
    <t>TOTAL</t>
  </si>
  <si>
    <t>2.00</t>
  </si>
  <si>
    <t>EQUIPAMIENTO</t>
  </si>
  <si>
    <t>2.01</t>
  </si>
  <si>
    <t>Glb</t>
  </si>
  <si>
    <t>2.02</t>
  </si>
  <si>
    <t>3.00</t>
  </si>
  <si>
    <t>GASTOS ADMINISTRATIVOS</t>
  </si>
  <si>
    <t>3.01</t>
  </si>
  <si>
    <t>est</t>
  </si>
  <si>
    <t>3.02</t>
  </si>
  <si>
    <t>TOTAL DE GASTOS ADMINISTRATIVOS</t>
  </si>
  <si>
    <t>4.00</t>
  </si>
  <si>
    <t>LIQUIDACION DE OBRA</t>
  </si>
  <si>
    <t>4.01</t>
  </si>
  <si>
    <t>mes</t>
  </si>
  <si>
    <t>4.02</t>
  </si>
  <si>
    <t>Secretaria</t>
  </si>
  <si>
    <t>4.05</t>
  </si>
  <si>
    <t xml:space="preserve">Leyes Sociales </t>
  </si>
  <si>
    <t>glb</t>
  </si>
  <si>
    <t>4.06</t>
  </si>
  <si>
    <t>Fotocopias Planos</t>
  </si>
  <si>
    <t>4.07</t>
  </si>
  <si>
    <t>Fotocopias Documentos</t>
  </si>
  <si>
    <t>4.08</t>
  </si>
  <si>
    <t>Comunicaciones</t>
  </si>
  <si>
    <t>4.09</t>
  </si>
  <si>
    <t>Movilización Coordinaciones</t>
  </si>
  <si>
    <t>4.10</t>
  </si>
  <si>
    <t>Utiles de Oficina</t>
  </si>
  <si>
    <t>TOTAL COSTO LIQUIDACION DE OBRA</t>
  </si>
  <si>
    <t>5.00</t>
  </si>
  <si>
    <t>IMPUESTOS</t>
  </si>
  <si>
    <t>5.01</t>
  </si>
  <si>
    <t>SENCICO (0.2% presupuesto sin igv)</t>
  </si>
  <si>
    <t>TOTAL COSTO IMPUESTOS</t>
  </si>
  <si>
    <t xml:space="preserve">   TOTAL GASTOS GENERALES FIJOS</t>
  </si>
  <si>
    <t>GASTOS GENERALES VARIABLES</t>
  </si>
  <si>
    <t>U</t>
  </si>
  <si>
    <t>PERSONAL DE OBRA</t>
  </si>
  <si>
    <t xml:space="preserve"> </t>
  </si>
  <si>
    <t>1.07</t>
  </si>
  <si>
    <t>1.09</t>
  </si>
  <si>
    <t>Cadista</t>
  </si>
  <si>
    <t>Beneficios  Sociales</t>
  </si>
  <si>
    <t>SUBTOTAL</t>
  </si>
  <si>
    <t>1.17</t>
  </si>
  <si>
    <t>1.18</t>
  </si>
  <si>
    <t>Asistente Servicios Generales</t>
  </si>
  <si>
    <t>1.20</t>
  </si>
  <si>
    <t>Logistica</t>
  </si>
  <si>
    <t>1.21</t>
  </si>
  <si>
    <t>Encargado de Almacén</t>
  </si>
  <si>
    <t xml:space="preserve"> TOTAL REMUNERACIÓN PERSONAL DE OBRA</t>
  </si>
  <si>
    <t>2.03</t>
  </si>
  <si>
    <t xml:space="preserve"> TOTAL COSTO ALIMENTACIÓN</t>
  </si>
  <si>
    <t>EQUIPOS NO INCLUIDOS EN LOS COSTOS DIRECTOS</t>
  </si>
  <si>
    <t>PC (Incl. Software)</t>
  </si>
  <si>
    <t>Impresora Láser A4</t>
  </si>
  <si>
    <t>Luminarias</t>
  </si>
  <si>
    <t>3.04</t>
  </si>
  <si>
    <t>Equipo Taller</t>
  </si>
  <si>
    <t>3.05</t>
  </si>
  <si>
    <t>3.06</t>
  </si>
  <si>
    <t xml:space="preserve"> TOTAL COSTO DE EQUIPOS NO INCLUIDOS</t>
  </si>
  <si>
    <t>VEHICULOS</t>
  </si>
  <si>
    <t>Camionetas Pick Up Doble Cabina 4x4 c/radio transmisor (*)</t>
  </si>
  <si>
    <t xml:space="preserve"> TOTAL COSTO DE VEHICULOS</t>
  </si>
  <si>
    <t>und.</t>
  </si>
  <si>
    <t>5.02</t>
  </si>
  <si>
    <t>5.03</t>
  </si>
  <si>
    <t>5.05</t>
  </si>
  <si>
    <t>7.00</t>
  </si>
  <si>
    <t>7.01</t>
  </si>
  <si>
    <t xml:space="preserve"> TOTAL COSTOS AMBIENTALES</t>
  </si>
  <si>
    <t>8.00</t>
  </si>
  <si>
    <t>SERVICIOS VARIOS</t>
  </si>
  <si>
    <t>8.01</t>
  </si>
  <si>
    <t>8.02</t>
  </si>
  <si>
    <t>Est.</t>
  </si>
  <si>
    <t>8.04</t>
  </si>
  <si>
    <t>Comunicaciones (Telefonía e Internet)</t>
  </si>
  <si>
    <t>8.05</t>
  </si>
  <si>
    <t>Hospedajes</t>
  </si>
  <si>
    <t xml:space="preserve"> TOTAL COSTO DE SERVICIOS Y GASTOS DE OFICINA DE OBRA</t>
  </si>
  <si>
    <t>9.00</t>
  </si>
  <si>
    <t>MATERIALES Y GASTOS VARIOS</t>
  </si>
  <si>
    <t>9.01</t>
  </si>
  <si>
    <t>9.03</t>
  </si>
  <si>
    <t>Materiales Fungibles Laboratorio</t>
  </si>
  <si>
    <t>9.04</t>
  </si>
  <si>
    <t>Artículos de Higiene Personal</t>
  </si>
  <si>
    <t>9.05</t>
  </si>
  <si>
    <t>Artículos de Lavandería</t>
  </si>
  <si>
    <t xml:space="preserve"> TOTAL COSTO MATERIALES DE OFICINA DE OBRA</t>
  </si>
  <si>
    <t>10.00</t>
  </si>
  <si>
    <t>GASTOS DE OFICINA PRINCIPAL Y MATERIALES</t>
  </si>
  <si>
    <t>10.01</t>
  </si>
  <si>
    <t>Asesoría Técnica -Legal</t>
  </si>
  <si>
    <t>10.04</t>
  </si>
  <si>
    <t>Beneficios Sociales</t>
  </si>
  <si>
    <t>Mantenimiento de Oficina principal</t>
  </si>
  <si>
    <t>Teléfono - Fax</t>
  </si>
  <si>
    <t>Copias Fotostáticas</t>
  </si>
  <si>
    <t>Utiles y Materiales fungibles</t>
  </si>
  <si>
    <t xml:space="preserve"> TOTAL GASTOS DE OFICINA PRINCIPAL Y MATERIALES</t>
  </si>
  <si>
    <t>11.00</t>
  </si>
  <si>
    <t>11.01</t>
  </si>
  <si>
    <t>11.02</t>
  </si>
  <si>
    <t>Gastos Bancarios (ITF 2 Movimientos)</t>
  </si>
  <si>
    <t xml:space="preserve"> TOTAL GASTOS FINANCIEROS</t>
  </si>
  <si>
    <t>SEGUROS (Ver hoja de cálculo anexa)</t>
  </si>
  <si>
    <t>A.- SEGUROS DE ACCIDENTES PERSONALES</t>
  </si>
  <si>
    <t>B.- SEGURO COMPLEMENTARIO DE TRABAJO DE RIESGO</t>
  </si>
  <si>
    <t>C.- SEGUROS DE VIDA</t>
  </si>
  <si>
    <t>D.- RESPONSABILIDAD CIVIL CONTRA TERCEROS</t>
  </si>
  <si>
    <t>E.- SEGUROS CONTRA TODO RIESGO (CAR)</t>
  </si>
  <si>
    <t xml:space="preserve">  Costo por emisión de Póliza </t>
  </si>
  <si>
    <t xml:space="preserve"> TOTAL COSTO DE SEGUROS</t>
  </si>
  <si>
    <t xml:space="preserve">   TOTAL GASTOS GENERALES VARIABLES</t>
  </si>
  <si>
    <t xml:space="preserve">COSTO POR LOS SEGUROS </t>
  </si>
  <si>
    <t xml:space="preserve">                             DURACION DE LA OBRA (meses)</t>
  </si>
  <si>
    <t xml:space="preserve">                             COSTO TOTAL</t>
  </si>
  <si>
    <t>SEGUROS</t>
  </si>
  <si>
    <t>Tasa:</t>
  </si>
  <si>
    <t>Período (Meses)   :</t>
  </si>
  <si>
    <t>COBERTURA</t>
  </si>
  <si>
    <t>COSTO FINANCIERO (S/.)</t>
  </si>
  <si>
    <t>Monto Aplicable:</t>
  </si>
  <si>
    <t>Período (Meses)    :</t>
  </si>
  <si>
    <t>‰</t>
  </si>
  <si>
    <t>COBERTURA:</t>
  </si>
  <si>
    <t xml:space="preserve">Monto del Contrato </t>
  </si>
  <si>
    <t>Tasa Básica:</t>
  </si>
  <si>
    <t>COBERTURA  ( S/. )  :</t>
  </si>
  <si>
    <t>Porcentaje Aplicable del C.T.</t>
  </si>
  <si>
    <t xml:space="preserve">Del Sub-Total </t>
  </si>
  <si>
    <t>Ingeniero Residente de Obra</t>
  </si>
  <si>
    <t>1.12</t>
  </si>
  <si>
    <t>1.14</t>
  </si>
  <si>
    <t>9.02</t>
  </si>
  <si>
    <t>4.11</t>
  </si>
  <si>
    <t>1.15</t>
  </si>
  <si>
    <t>1.19</t>
  </si>
  <si>
    <t>GASTOS FINANCIEROS</t>
  </si>
  <si>
    <t>11.03</t>
  </si>
  <si>
    <t>11.04</t>
  </si>
  <si>
    <t>Carta Fianza de Fiel Cumplimiento del Contrato (10%)</t>
  </si>
  <si>
    <t>MONEDA NACIONAL</t>
  </si>
  <si>
    <t>SEGURIDAD Y SALUD</t>
  </si>
  <si>
    <t>Plan de Seguridad, Salud y Emergencia</t>
  </si>
  <si>
    <t>Examen de Salud Ocupacional</t>
  </si>
  <si>
    <t>1.22</t>
  </si>
  <si>
    <t>ALIMENTACIÓN EN OBRA</t>
  </si>
  <si>
    <t>Materiales de Seguridad en Obra</t>
  </si>
  <si>
    <t xml:space="preserve"> TOTAL COSTO SEGURIDAD Y SALUD</t>
  </si>
  <si>
    <t>7.02</t>
  </si>
  <si>
    <t>5.04</t>
  </si>
  <si>
    <t>5.06</t>
  </si>
  <si>
    <t>5.07</t>
  </si>
  <si>
    <t>6.00</t>
  </si>
  <si>
    <t>7.06</t>
  </si>
  <si>
    <t>7.08</t>
  </si>
  <si>
    <t>7.09</t>
  </si>
  <si>
    <t>11.05</t>
  </si>
  <si>
    <t>11.06</t>
  </si>
  <si>
    <t>9.06</t>
  </si>
  <si>
    <t>9.07</t>
  </si>
  <si>
    <t>9.09</t>
  </si>
  <si>
    <t>9.10</t>
  </si>
  <si>
    <t>9.11</t>
  </si>
  <si>
    <t>9.12</t>
  </si>
  <si>
    <t>GESTIÓN AMBIENTAL</t>
  </si>
  <si>
    <t>6.02</t>
  </si>
  <si>
    <t>6.03</t>
  </si>
  <si>
    <t>5.08</t>
  </si>
  <si>
    <t>Capacitación en Salud y Seguridad en el Trabajo</t>
  </si>
  <si>
    <t>COSTO DIRECTO (SOLES)</t>
  </si>
  <si>
    <t>Presupuesto:</t>
  </si>
  <si>
    <t>DESAGREGADO DE GASTOS GENERALES</t>
  </si>
  <si>
    <t>PRESUPUESTO OFERTADO</t>
  </si>
  <si>
    <t>DESCRIPCIÓN</t>
  </si>
  <si>
    <t>TOTAL PRESUPUESTO</t>
  </si>
  <si>
    <t>3.-</t>
  </si>
  <si>
    <t>4.-</t>
  </si>
  <si>
    <t>5.-</t>
  </si>
  <si>
    <t>Topógrafo</t>
  </si>
  <si>
    <t>Estación Total</t>
  </si>
  <si>
    <t>Materiales Fungibles Topografía</t>
  </si>
  <si>
    <t>8.06</t>
  </si>
  <si>
    <t>PERSONAL PROFESIONAL Y TECNICO</t>
  </si>
  <si>
    <t>PERSONAL ADMINISTRATIVO Y AUXILIAR</t>
  </si>
  <si>
    <t>Personal Profesional y Técnico</t>
  </si>
  <si>
    <t>Personal Administrativo y Auxiliar</t>
  </si>
  <si>
    <t>Implementos de Seguridad Profesionales y Técnicos</t>
  </si>
  <si>
    <t>3.09</t>
  </si>
  <si>
    <t>Maestro de Obra</t>
  </si>
  <si>
    <t>1.13</t>
  </si>
  <si>
    <t>Implementos de Seguridad Obreros (Incl. Uniforme)</t>
  </si>
  <si>
    <t>Implementos de Seguridad Operadores (Incl. Uniforme)</t>
  </si>
  <si>
    <t>Implementos de Seguridad Administrativo y Auxiliar (Incl. Uniforme)</t>
  </si>
  <si>
    <t>Ensayos de Calidad - Suelos</t>
  </si>
  <si>
    <t>METRADO</t>
  </si>
  <si>
    <t>PARCIAL (S/)</t>
  </si>
  <si>
    <t>PRECIO (S/)</t>
  </si>
  <si>
    <t>GLB</t>
  </si>
  <si>
    <t>TOTAL PATIO DE MAQUINAS</t>
  </si>
  <si>
    <t>Personal Operadores y Obreros (Subsidio por horario extendido)</t>
  </si>
  <si>
    <t>7.10</t>
  </si>
  <si>
    <t>7.11</t>
  </si>
  <si>
    <t>CUADRILLA</t>
  </si>
  <si>
    <t>COSTO TOTAL :</t>
  </si>
  <si>
    <t>COSTO TOTAL</t>
  </si>
  <si>
    <t>Materiales de difusión</t>
  </si>
  <si>
    <t>PROGRAMA DE RELACIONES COMUNITARIAS</t>
  </si>
  <si>
    <t>5.08.01</t>
  </si>
  <si>
    <t>unid</t>
  </si>
  <si>
    <t>ml</t>
  </si>
  <si>
    <t>5.08.02</t>
  </si>
  <si>
    <t>5.08.04</t>
  </si>
  <si>
    <t>5.08.05</t>
  </si>
  <si>
    <t>rollo</t>
  </si>
  <si>
    <t>5.08.06</t>
  </si>
  <si>
    <t>5.08.07</t>
  </si>
  <si>
    <t>5.08.09</t>
  </si>
  <si>
    <t>5.08.10</t>
  </si>
  <si>
    <t>5.08.11</t>
  </si>
  <si>
    <t>5.08.12</t>
  </si>
  <si>
    <t>5.08.13</t>
  </si>
  <si>
    <t>5.08.14</t>
  </si>
  <si>
    <t>5.08.15</t>
  </si>
  <si>
    <t>5.08.16</t>
  </si>
  <si>
    <t>5.08.17</t>
  </si>
  <si>
    <t>5.08.18</t>
  </si>
  <si>
    <t>06.03</t>
  </si>
  <si>
    <t>COSTO POR GESTIÓN AMBIENTAL</t>
  </si>
  <si>
    <t>MATERIALES DE SEGURIDAD EN OBRA</t>
  </si>
  <si>
    <t>UND.</t>
  </si>
  <si>
    <t>FRECUENCIA</t>
  </si>
  <si>
    <t>FRENTES</t>
  </si>
  <si>
    <t>PRECIO</t>
  </si>
  <si>
    <t>USOS</t>
  </si>
  <si>
    <t>BASTÓN ANCLAJE DE FIERRO  Ø 1" (CANCAMOS)= 1.20 M</t>
  </si>
  <si>
    <t>SOGAS VERTICAL Ø 3/4"</t>
  </si>
  <si>
    <t xml:space="preserve"> LÍNEA DE VIDA HORIZONTAL</t>
  </si>
  <si>
    <t>CABLE ACERO Ø 1" TIPO BOA- ASCENSOR</t>
  </si>
  <si>
    <t>GRAPAS ACEROS PARA EXTREMOS LINEA DE VIDA</t>
  </si>
  <si>
    <t>ARNÉS DE SEGURIDAD 3 M. TIPO 3M</t>
  </si>
  <si>
    <t>MALLA DE SEGURIDAD</t>
  </si>
  <si>
    <t xml:space="preserve"> CINTA DE SEGURIDAD</t>
  </si>
  <si>
    <t xml:space="preserve"> BARANDA DE MADERA</t>
  </si>
  <si>
    <t xml:space="preserve"> CACHACOS DE SEGURIDAD</t>
  </si>
  <si>
    <t xml:space="preserve"> CONOS 18"</t>
  </si>
  <si>
    <t>SEÑALIZACIÓN DE SEGURIDAD</t>
  </si>
  <si>
    <t xml:space="preserve"> PALETAS</t>
  </si>
  <si>
    <t>MANTAS COBERTORAS 5 X 8 M</t>
  </si>
  <si>
    <t>SEÑALIZACIÓN REFLECTORA, LUCES 1.2 X 2.4</t>
  </si>
  <si>
    <t xml:space="preserve"> EXTINTOR 06KG</t>
  </si>
  <si>
    <t>BOTIQUÍN</t>
  </si>
  <si>
    <t xml:space="preserve"> CAMILLA,</t>
  </si>
  <si>
    <t>SOGAS DE RESCATE DIVERSOS DIAMETROS MINIMO 3/4"</t>
  </si>
  <si>
    <t>und</t>
  </si>
  <si>
    <t>COSTO POR SEGURIDAD Y SALUD</t>
  </si>
  <si>
    <t>LÍNEA DE VIDA VERTICAL</t>
  </si>
  <si>
    <t>1.06</t>
  </si>
  <si>
    <t>1.10</t>
  </si>
  <si>
    <t>Taller de reparaciones menores, mantenimiento y llanteria</t>
  </si>
  <si>
    <t>Tecnico Laboratorio y mecanica de suelos</t>
  </si>
  <si>
    <t>Señaleros o vigias</t>
  </si>
  <si>
    <t>Guardian</t>
  </si>
  <si>
    <t>COSTO DIRECTO (DOLARES)</t>
  </si>
  <si>
    <t>$</t>
  </si>
  <si>
    <t>TIPO DE CAMBIO</t>
  </si>
  <si>
    <r>
      <t>SUBTOTAL (</t>
    </r>
    <r>
      <rPr>
        <u/>
        <sz val="8"/>
        <rFont val="Arial"/>
        <family val="2"/>
      </rPr>
      <t>$</t>
    </r>
    <r>
      <rPr>
        <sz val="8"/>
        <rFont val="Arial"/>
        <family val="2"/>
      </rPr>
      <t>)</t>
    </r>
  </si>
  <si>
    <t>TOTAL DE GASTOS FINANCIEROS POR SEGUROS  ($)</t>
  </si>
  <si>
    <t>Gastos de Liquidacion de obra</t>
  </si>
  <si>
    <t>Instalacion y Desinstalacion</t>
  </si>
  <si>
    <t>gbl</t>
  </si>
  <si>
    <t>1.16</t>
  </si>
  <si>
    <t>4.12</t>
  </si>
  <si>
    <t>4.13</t>
  </si>
  <si>
    <t>ingeniero de costos y presupuestos</t>
  </si>
  <si>
    <t>4.14</t>
  </si>
  <si>
    <t>Tecnico operador de densimetro nuclear</t>
  </si>
  <si>
    <t>Topografo</t>
  </si>
  <si>
    <t>4.16</t>
  </si>
  <si>
    <t>4.15</t>
  </si>
  <si>
    <t>mediciones con densimetro nuclear</t>
  </si>
  <si>
    <t>Permisos y Licencias radio comunicación</t>
  </si>
  <si>
    <t>Contabilidad y administracion</t>
  </si>
  <si>
    <t>Administrador- contador</t>
  </si>
  <si>
    <t>Administrador - Contador</t>
  </si>
  <si>
    <t>Reuniones  perodicas</t>
  </si>
  <si>
    <t>1.08</t>
  </si>
  <si>
    <t>1.23</t>
  </si>
  <si>
    <t>1.24</t>
  </si>
  <si>
    <t>1.25</t>
  </si>
  <si>
    <t>1.26</t>
  </si>
  <si>
    <t>1.27</t>
  </si>
  <si>
    <t>(*) Los costos NO incluyen operador y combustible</t>
  </si>
  <si>
    <t>Combi/Sprinter 12 psj (*)</t>
  </si>
  <si>
    <t>EPP</t>
  </si>
  <si>
    <t>P.U</t>
  </si>
  <si>
    <t>CASCO</t>
  </si>
  <si>
    <t>BARBIQUEJO</t>
  </si>
  <si>
    <t>TAPONES AUDITIVOS</t>
  </si>
  <si>
    <t>PANTALON</t>
  </si>
  <si>
    <t>CAMISA</t>
  </si>
  <si>
    <t>POLO MANGA LARGA</t>
  </si>
  <si>
    <t>BOTAS PUNTA DE ACERO</t>
  </si>
  <si>
    <t>GUANTES</t>
  </si>
  <si>
    <t>LENTES .OSCUROS</t>
  </si>
  <si>
    <t>LENTES BLANCOS</t>
  </si>
  <si>
    <t>CORTAVIENTOS</t>
  </si>
  <si>
    <t xml:space="preserve">MASCARILLA KM95 CAJA </t>
  </si>
  <si>
    <t>Implementos de Seguridad Administrativo y Auxiliar</t>
  </si>
  <si>
    <t>Implementos de Seguridad Operadores</t>
  </si>
  <si>
    <t xml:space="preserve">Implementos de Seguridad Obreros </t>
  </si>
  <si>
    <t>*No incluye IGV</t>
  </si>
  <si>
    <t>PRESUPUESTO</t>
  </si>
  <si>
    <t>SERVICIO DE CONSTRUCCIÓN DE DIQUES Y PROTECCIÓN DE TALUDES DE DIQUES CON ENROCADO DEL SECTOR 2 SUBPROYECTO A4 PAMPA DEL TORO</t>
  </si>
  <si>
    <t>Fecha Pres.</t>
  </si>
  <si>
    <r>
      <rPr>
        <b/>
        <sz val="10"/>
        <color rgb="FFFFFFFF"/>
        <rFont val="Calibri"/>
        <family val="2"/>
      </rPr>
      <t>ÍTEM</t>
    </r>
  </si>
  <si>
    <r>
      <rPr>
        <b/>
        <sz val="10"/>
        <color rgb="FFFFFFFF"/>
        <rFont val="Calibri"/>
        <family val="2"/>
      </rPr>
      <t>DESCRIPCIÓN</t>
    </r>
  </si>
  <si>
    <r>
      <rPr>
        <b/>
        <sz val="10"/>
        <color rgb="FFFFFFFF"/>
        <rFont val="Calibri"/>
        <family val="2"/>
      </rPr>
      <t>UNIDAD</t>
    </r>
  </si>
  <si>
    <r>
      <rPr>
        <b/>
        <sz val="10"/>
        <color rgb="FFFFFFFF"/>
        <rFont val="Calibri"/>
        <family val="2"/>
      </rPr>
      <t>METRADO</t>
    </r>
  </si>
  <si>
    <t>P.U.</t>
  </si>
  <si>
    <r>
      <rPr>
        <b/>
        <sz val="10"/>
        <rFont val="Calibri"/>
        <family val="2"/>
      </rPr>
      <t>OBRAS PROVISIONALES</t>
    </r>
  </si>
  <si>
    <r>
      <rPr>
        <sz val="10"/>
        <rFont val="Calibri"/>
        <family val="2"/>
      </rPr>
      <t>CARTEL DE IDENTIFICACIÓN DE OBRA 4.8 m x 3.60 m</t>
    </r>
  </si>
  <si>
    <r>
      <rPr>
        <sz val="10"/>
        <rFont val="Calibri"/>
        <family val="2"/>
      </rPr>
      <t>und</t>
    </r>
  </si>
  <si>
    <r>
      <rPr>
        <sz val="10"/>
        <rFont val="Calibri"/>
        <family val="2"/>
      </rPr>
      <t>INSTALACIONES PROVISIONALES PARA LA OBRA</t>
    </r>
  </si>
  <si>
    <r>
      <rPr>
        <sz val="10"/>
        <rFont val="Calibri"/>
        <family val="2"/>
      </rPr>
      <t>glb</t>
    </r>
  </si>
  <si>
    <r>
      <rPr>
        <sz val="10"/>
        <rFont val="Calibri"/>
        <family val="2"/>
      </rPr>
      <t>MANTENIMIENTO DE TRANSITO Y SEGURIDAD VIAL</t>
    </r>
  </si>
  <si>
    <r>
      <rPr>
        <sz val="10"/>
        <rFont val="Calibri"/>
        <family val="2"/>
      </rPr>
      <t>mes</t>
    </r>
  </si>
  <si>
    <r>
      <rPr>
        <b/>
        <sz val="10"/>
        <rFont val="Calibri"/>
        <family val="2"/>
      </rPr>
      <t>TRABAJOS PRELIMINARES</t>
    </r>
  </si>
  <si>
    <r>
      <rPr>
        <sz val="10"/>
        <rFont val="Calibri"/>
        <family val="2"/>
      </rPr>
      <t>MOVILIZACION Y DESMOVILIZACION DE EQUIPOS</t>
    </r>
  </si>
  <si>
    <r>
      <rPr>
        <sz val="10"/>
        <rFont val="Calibri"/>
        <family val="2"/>
      </rPr>
      <t>TRAZO Y REPLANTEO DE OBRA</t>
    </r>
  </si>
  <si>
    <r>
      <rPr>
        <sz val="10"/>
        <rFont val="Calibri"/>
        <family val="2"/>
      </rPr>
      <t>m2</t>
    </r>
  </si>
  <si>
    <r>
      <rPr>
        <b/>
        <sz val="10"/>
        <rFont val="Calibri"/>
        <family val="2"/>
      </rPr>
      <t>DIQUES Y PROTECCIÓN DE CAUCE CON ENROCADO</t>
    </r>
  </si>
  <si>
    <r>
      <rPr>
        <b/>
        <sz val="10"/>
        <rFont val="Calibri"/>
        <family val="2"/>
      </rPr>
      <t>DIQUE DE TIERRA COMPACTADA</t>
    </r>
  </si>
  <si>
    <r>
      <rPr>
        <sz val="10"/>
        <rFont val="Calibri"/>
        <family val="2"/>
      </rPr>
      <t>1.03.01.01</t>
    </r>
  </si>
  <si>
    <r>
      <rPr>
        <sz val="10"/>
        <rFont val="Calibri"/>
        <family val="2"/>
      </rPr>
      <t>DESBROCE Y LIMPIEZA EN ZONA NO BOSCOSA</t>
    </r>
  </si>
  <si>
    <r>
      <rPr>
        <sz val="10"/>
        <rFont val="Calibri"/>
        <family val="2"/>
      </rPr>
      <t>1.03.01.02</t>
    </r>
  </si>
  <si>
    <r>
      <rPr>
        <sz val="10"/>
        <rFont val="Calibri"/>
        <family val="2"/>
      </rPr>
      <t>EXCAVACIÓN EN MATERIAL SUELTO CON EQUIPO</t>
    </r>
  </si>
  <si>
    <r>
      <rPr>
        <sz val="10"/>
        <rFont val="Calibri"/>
        <family val="2"/>
      </rPr>
      <t>m3</t>
    </r>
  </si>
  <si>
    <r>
      <rPr>
        <sz val="10"/>
        <rFont val="Calibri"/>
        <family val="2"/>
      </rPr>
      <t>1.03.01.03</t>
    </r>
  </si>
  <si>
    <r>
      <rPr>
        <sz val="10"/>
        <rFont val="Calibri"/>
        <family val="2"/>
      </rPr>
      <t>PERFILADO Y COMPACTACIÓN EN ZONA DE CORTE</t>
    </r>
  </si>
  <si>
    <r>
      <rPr>
        <sz val="10"/>
        <rFont val="Calibri"/>
        <family val="2"/>
      </rPr>
      <t>1.03.01.04</t>
    </r>
  </si>
  <si>
    <r>
      <rPr>
        <sz val="10"/>
        <rFont val="Calibri"/>
        <family val="2"/>
      </rPr>
      <t>1.03.01.05</t>
    </r>
  </si>
  <si>
    <r>
      <rPr>
        <sz val="10"/>
        <rFont val="Calibri"/>
        <family val="2"/>
      </rPr>
      <t>CONFORMACIÓN DE MATERIAL GRANULAR EN CORONA DEL DIQUE</t>
    </r>
  </si>
  <si>
    <r>
      <rPr>
        <b/>
        <sz val="10"/>
        <rFont val="Calibri"/>
        <family val="2"/>
      </rPr>
      <t>ENROCADO CON PIEDRA ACOMODADA</t>
    </r>
  </si>
  <si>
    <r>
      <rPr>
        <sz val="10"/>
        <rFont val="Calibri"/>
        <family val="2"/>
      </rPr>
      <t>01.03.02.01</t>
    </r>
  </si>
  <si>
    <r>
      <rPr>
        <sz val="10"/>
        <rFont val="Calibri"/>
        <family val="2"/>
      </rPr>
      <t>01.03.02.02</t>
    </r>
  </si>
  <si>
    <r>
      <rPr>
        <sz val="10"/>
        <rFont val="Calibri"/>
        <family val="2"/>
      </rPr>
      <t>01.03.02.03</t>
    </r>
  </si>
  <si>
    <r>
      <rPr>
        <sz val="10"/>
        <rFont val="Calibri"/>
        <family val="2"/>
      </rPr>
      <t>01.03.02.04</t>
    </r>
  </si>
  <si>
    <t>GEOTEXTIL NO TEJIDO 400 gr/m2, INC. COLOCACIÓN</t>
  </si>
  <si>
    <r>
      <rPr>
        <sz val="10"/>
        <rFont val="Calibri"/>
        <family val="2"/>
      </rPr>
      <t>01.03.02.05</t>
    </r>
  </si>
  <si>
    <r>
      <rPr>
        <sz val="10"/>
        <rFont val="Calibri"/>
        <family val="2"/>
      </rPr>
      <t>CAMA DE APOYO (e=0.25 m)</t>
    </r>
  </si>
  <si>
    <r>
      <rPr>
        <sz val="10"/>
        <rFont val="Calibri"/>
        <family val="2"/>
      </rPr>
      <t>01.03.02.06</t>
    </r>
  </si>
  <si>
    <r>
      <rPr>
        <sz val="10"/>
        <rFont val="Calibri"/>
        <family val="2"/>
      </rPr>
      <t>COLOCACIÓN Y ACOMODO DE ROCA EN UÑA DEL DIQUE</t>
    </r>
  </si>
  <si>
    <r>
      <rPr>
        <sz val="10"/>
        <rFont val="Calibri"/>
        <family val="2"/>
      </rPr>
      <t>01.03.02.07</t>
    </r>
  </si>
  <si>
    <r>
      <rPr>
        <sz val="10"/>
        <rFont val="Calibri"/>
        <family val="2"/>
      </rPr>
      <t>COLOCACIÓN Y ACOMODO DE ROCA EN TALUD DEL DIQUE</t>
    </r>
  </si>
  <si>
    <r>
      <rPr>
        <b/>
        <sz val="10"/>
        <rFont val="Calibri"/>
        <family val="2"/>
      </rPr>
      <t>PROTECCIÓN DEL CAUCE CON ENROCADO</t>
    </r>
  </si>
  <si>
    <r>
      <rPr>
        <sz val="10"/>
        <rFont val="Calibri"/>
        <family val="2"/>
      </rPr>
      <t>1.03.03.01</t>
    </r>
  </si>
  <si>
    <r>
      <rPr>
        <sz val="10"/>
        <rFont val="Calibri"/>
        <family val="2"/>
      </rPr>
      <t>1.03.03.02</t>
    </r>
  </si>
  <si>
    <r>
      <rPr>
        <sz val="10"/>
        <rFont val="Calibri"/>
        <family val="2"/>
      </rPr>
      <t>PERFILADO Y COMPACTACIÓN CON EQUIPO DE FONDO DE EXCAVACIÓN</t>
    </r>
  </si>
  <si>
    <r>
      <rPr>
        <sz val="10"/>
        <rFont val="Calibri"/>
        <family val="2"/>
      </rPr>
      <t>1.03.03.03</t>
    </r>
  </si>
  <si>
    <r>
      <rPr>
        <sz val="10"/>
        <rFont val="Calibri"/>
        <family val="2"/>
      </rPr>
      <t>COLOCACIÓN DE ROCA EN CAUCE</t>
    </r>
  </si>
  <si>
    <r>
      <rPr>
        <b/>
        <sz val="10"/>
        <rFont val="Calibri"/>
        <family val="2"/>
      </rPr>
      <t>REPOSICIÓN DE CAMINO DE ACCESO</t>
    </r>
  </si>
  <si>
    <r>
      <rPr>
        <sz val="10"/>
        <rFont val="Calibri"/>
        <family val="2"/>
      </rPr>
      <t>CONFORMACIÓN DE TERRAPLEN EN CAMINO</t>
    </r>
  </si>
  <si>
    <r>
      <rPr>
        <sz val="10"/>
        <rFont val="Calibri"/>
        <family val="2"/>
      </rPr>
      <t>MATERIAL AFIRMADO e=0.30 m</t>
    </r>
  </si>
  <si>
    <r>
      <rPr>
        <b/>
        <sz val="10"/>
        <rFont val="Calibri"/>
        <family val="2"/>
      </rPr>
      <t>TRANSPORTE DE MATERIAL</t>
    </r>
  </si>
  <si>
    <r>
      <rPr>
        <sz val="10"/>
        <rFont val="Calibri"/>
        <family val="2"/>
      </rPr>
      <t>TRANSPORTE DE MATERIAL GRANULAR PARA DISTANCIAS &lt; 1KM</t>
    </r>
  </si>
  <si>
    <r>
      <rPr>
        <sz val="10"/>
        <rFont val="Calibri"/>
        <family val="2"/>
      </rPr>
      <t>m3-km</t>
    </r>
  </si>
  <si>
    <r>
      <rPr>
        <sz val="10"/>
        <rFont val="Calibri"/>
        <family val="2"/>
      </rPr>
      <t>TRANSPORTE DE ROCA PARA DISTANCIAS &lt; 1KM</t>
    </r>
  </si>
  <si>
    <r>
      <rPr>
        <sz val="10"/>
        <rFont val="Calibri"/>
        <family val="2"/>
      </rPr>
      <t>TRANSPORTE DE ROCA PARA DISTANCIAS &gt; 1KM</t>
    </r>
  </si>
  <si>
    <r>
      <rPr>
        <sz val="10"/>
        <rFont val="Calibri"/>
        <family val="2"/>
      </rPr>
      <t>TRANSPORTE DE MATERIAL EXCEDENTE PARA DISTANCIAS &lt; 1KM</t>
    </r>
  </si>
  <si>
    <r>
      <rPr>
        <sz val="10"/>
        <rFont val="Calibri"/>
        <family val="2"/>
      </rPr>
      <t>TRANSPORTE DE MATERIAL EXCEDENTE PARA DISTANCIAS &gt; 1KM</t>
    </r>
  </si>
  <si>
    <r>
      <rPr>
        <b/>
        <sz val="10"/>
        <rFont val="Calibri"/>
        <family val="2"/>
      </rPr>
      <t>MONITOREO Y CONTROL AMBIENTAL</t>
    </r>
  </si>
  <si>
    <r>
      <rPr>
        <b/>
        <sz val="10"/>
        <rFont val="Calibri"/>
        <family val="2"/>
      </rPr>
      <t>PROGRAMA DE CIERRE DE OBRA</t>
    </r>
  </si>
  <si>
    <r>
      <rPr>
        <sz val="10"/>
        <rFont val="Calibri"/>
        <family val="2"/>
      </rPr>
      <t>1.06.01.01</t>
    </r>
  </si>
  <si>
    <r>
      <rPr>
        <sz val="10"/>
        <rFont val="Calibri"/>
        <family val="2"/>
      </rPr>
      <t>ACONDICIONAMIENTO DE DEPÓSITOS DE MATERIALES EXCEDENTES (DME)</t>
    </r>
  </si>
  <si>
    <r>
      <rPr>
        <sz val="10"/>
        <rFont val="Calibri"/>
        <family val="2"/>
      </rPr>
      <t>1.06.01.02</t>
    </r>
  </si>
  <si>
    <r>
      <rPr>
        <sz val="10"/>
        <rFont val="Calibri"/>
        <family val="2"/>
      </rPr>
      <t>RESTAURACIÓN DE ÁREAS DE INSTALACIONES PROVISIONALES</t>
    </r>
  </si>
  <si>
    <r>
      <rPr>
        <b/>
        <sz val="10"/>
        <rFont val="Calibri"/>
        <family val="2"/>
      </rPr>
      <t>OTROS</t>
    </r>
  </si>
  <si>
    <t>SEGURIDAD Y SALUD OCUPACIONAL</t>
  </si>
  <si>
    <t>IMPLEMENTACIÓN DEL PLAN PARA LA VIGILANCIA, PREVENCIÓN Y CONTROL DE COVID-19 EN EL TRABAJO</t>
  </si>
  <si>
    <t>Utilidad</t>
  </si>
  <si>
    <t>Gastos Generales</t>
  </si>
  <si>
    <t>IGV</t>
  </si>
  <si>
    <t>S/.</t>
  </si>
  <si>
    <t>Ingeniero supervisor Control de calidad</t>
  </si>
  <si>
    <t>Ingeniero Supervisor de Seguridad</t>
  </si>
  <si>
    <t>Ingeniero Supervisor de Construccion</t>
  </si>
  <si>
    <t>Gerente de Proyecto</t>
  </si>
  <si>
    <t>Gerente de proyecto</t>
  </si>
  <si>
    <t>Supervisor de equipo pesado y combustible</t>
  </si>
  <si>
    <t>Ayudante de topografia</t>
  </si>
  <si>
    <t>Conductores de camioneta</t>
  </si>
  <si>
    <t>Conductor de couster</t>
  </si>
  <si>
    <t>Gerencia</t>
  </si>
  <si>
    <t>Jefatura de proyectos</t>
  </si>
  <si>
    <t>Mantenimiento y logistica</t>
  </si>
  <si>
    <t>Auxiliar de logistica</t>
  </si>
  <si>
    <t>PERFILADO Y COMPACTACIÓN EN ZONA DE CORTE</t>
  </si>
  <si>
    <t>CONFORMACIÓN DE CUERPO DEL DIQUE</t>
  </si>
  <si>
    <t>TRANSPORTE DE MATERIAL GRANULAR PARA DISTANCIAS &gt; 1KM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</si>
</sst>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_ * #,##0.00_ ;_ * \-#,##0.00_ ;_ * &quot;-&quot;??_ ;_ @_ "/>
    <numFmt numFmtId="165" formatCode="0.00000000%"/>
    <numFmt numFmtId="166" formatCode="0.000%"/>
    <numFmt numFmtId="167" formatCode="0.00000%"/>
    <numFmt numFmtId="168" formatCode="0.000000%"/>
    <numFmt numFmtId="169" formatCode="0.0000000"/>
    <numFmt numFmtId="170" formatCode="_(* #,##0.00_);_(* \(#,##0.00\);_(* &quot;-&quot;??_);_(@_)"/>
    <numFmt numFmtId="171" formatCode="#,##0.00;[Red]#,##0.00"/>
    <numFmt numFmtId="172" formatCode="_(* #,##0.000000_);_(* \(#,##0.000000\);_(* &quot;-&quot;??_);_(@_)"/>
    <numFmt numFmtId="173" formatCode="_(* #,##0.0_);_(* \(#,##0.0\);_(* &quot;-&quot;??_);_(@_)"/>
    <numFmt numFmtId="174" formatCode="0.0%"/>
    <numFmt numFmtId="175" formatCode="_(* #,##0.0000_);_(* \(#,##0.0000\);_(* &quot;-&quot;??_);_(@_)"/>
    <numFmt numFmtId="176" formatCode="_(* #,##0_);_(* \(#,##0\);_(* &quot;-&quot;_);_(@_)"/>
    <numFmt numFmtId="177" formatCode="_(* #,##0.00_);_(* \(#,##0.00\);_(* &quot;-&quot;_);_(@_)"/>
    <numFmt numFmtId="178" formatCode="_-[$$-540A]* #,##0.00_ ;_-[$$-540A]* \-#,##0.00\ ;_-[$$-540A]* &quot;-&quot;??_ ;_-@_ "/>
    <numFmt numFmtId="179" formatCode="00.00"/>
    <numFmt numFmtId="180" formatCode="m\.dd\.yy;@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2"/>
      <color indexed="8"/>
      <name val="Arial Black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u/>
      <sz val="14"/>
      <color rgb="FF000000"/>
      <name val="Arial"/>
      <family val="2"/>
    </font>
    <font>
      <sz val="11"/>
      <color rgb="FFFF0000"/>
      <name val="Arial"/>
      <family val="2"/>
    </font>
    <font>
      <b/>
      <u/>
      <sz val="12"/>
      <name val="Arial"/>
      <family val="2"/>
    </font>
    <font>
      <sz val="11"/>
      <color rgb="FF0000FF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sz val="11"/>
      <name val="Calibri"/>
      <family val="2"/>
      <scheme val="minor"/>
    </font>
    <font>
      <u/>
      <sz val="8"/>
      <name val="Arial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10"/>
      <name val="Calibri"/>
      <family val="2"/>
    </font>
    <font>
      <b/>
      <sz val="10"/>
      <color rgb="FFFFFFFF"/>
      <name val="Calibri"/>
      <family val="2"/>
    </font>
    <font>
      <b/>
      <sz val="10"/>
      <color theme="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36"/>
      <name val="Arial"/>
      <family val="2"/>
    </font>
    <font>
      <b/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6FC0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>
      <alignment vertical="top"/>
    </xf>
    <xf numFmtId="0" fontId="2" fillId="0" borderId="0"/>
    <xf numFmtId="17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</cellStyleXfs>
  <cellXfs count="462">
    <xf numFmtId="0" fontId="0" fillId="0" borderId="0" xfId="0"/>
    <xf numFmtId="0" fontId="3" fillId="0" borderId="0" xfId="3" applyFont="1" applyBorder="1"/>
    <xf numFmtId="0" fontId="3" fillId="0" borderId="0" xfId="3" applyFont="1"/>
    <xf numFmtId="4" fontId="3" fillId="0" borderId="0" xfId="3" applyNumberFormat="1" applyFont="1"/>
    <xf numFmtId="0" fontId="4" fillId="0" borderId="1" xfId="3" applyFont="1" applyFill="1" applyBorder="1" applyAlignment="1">
      <alignment horizontal="right" indent="1"/>
    </xf>
    <xf numFmtId="0" fontId="4" fillId="0" borderId="0" xfId="3" applyFont="1" applyFill="1" applyBorder="1"/>
    <xf numFmtId="0" fontId="4" fillId="0" borderId="2" xfId="3" applyFont="1" applyFill="1" applyBorder="1"/>
    <xf numFmtId="0" fontId="4" fillId="0" borderId="10" xfId="3" applyFont="1" applyFill="1" applyBorder="1" applyAlignment="1">
      <alignment horizontal="center"/>
    </xf>
    <xf numFmtId="10" fontId="4" fillId="0" borderId="3" xfId="3" applyNumberFormat="1" applyFont="1" applyFill="1" applyBorder="1" applyAlignment="1">
      <alignment horizontal="center"/>
    </xf>
    <xf numFmtId="0" fontId="5" fillId="0" borderId="0" xfId="3" applyFont="1" applyBorder="1"/>
    <xf numFmtId="0" fontId="5" fillId="0" borderId="0" xfId="3" applyFont="1"/>
    <xf numFmtId="4" fontId="4" fillId="0" borderId="0" xfId="3" applyNumberFormat="1" applyFont="1" applyFill="1" applyBorder="1" applyAlignment="1">
      <alignment horizontal="center"/>
    </xf>
    <xf numFmtId="0" fontId="5" fillId="0" borderId="6" xfId="3" applyFont="1" applyFill="1" applyBorder="1" applyAlignment="1">
      <alignment horizontal="right" indent="1"/>
    </xf>
    <xf numFmtId="0" fontId="5" fillId="0" borderId="7" xfId="3" applyFont="1" applyFill="1" applyBorder="1"/>
    <xf numFmtId="0" fontId="5" fillId="0" borderId="14" xfId="3" applyFont="1" applyFill="1" applyBorder="1" applyAlignment="1">
      <alignment horizontal="center"/>
    </xf>
    <xf numFmtId="165" fontId="5" fillId="0" borderId="8" xfId="3" applyNumberFormat="1" applyFont="1" applyFill="1" applyBorder="1" applyAlignment="1">
      <alignment horizontal="center"/>
    </xf>
    <xf numFmtId="0" fontId="6" fillId="0" borderId="0" xfId="3" applyFont="1" applyFill="1" applyBorder="1"/>
    <xf numFmtId="0" fontId="6" fillId="0" borderId="0" xfId="3" applyFont="1" applyBorder="1"/>
    <xf numFmtId="0" fontId="6" fillId="0" borderId="0" xfId="3" applyFont="1"/>
    <xf numFmtId="4" fontId="6" fillId="0" borderId="0" xfId="3" applyNumberFormat="1" applyFont="1"/>
    <xf numFmtId="4" fontId="4" fillId="2" borderId="12" xfId="3" applyNumberFormat="1" applyFont="1" applyFill="1" applyBorder="1" applyAlignment="1">
      <alignment horizontal="right" indent="1"/>
    </xf>
    <xf numFmtId="0" fontId="5" fillId="0" borderId="14" xfId="3" applyFont="1" applyFill="1" applyBorder="1" applyAlignment="1">
      <alignment horizontal="right" indent="1"/>
    </xf>
    <xf numFmtId="169" fontId="5" fillId="0" borderId="0" xfId="3" applyNumberFormat="1" applyFont="1" applyBorder="1"/>
    <xf numFmtId="0" fontId="4" fillId="0" borderId="10" xfId="3" applyFont="1" applyFill="1" applyBorder="1" applyAlignment="1">
      <alignment horizontal="right" indent="1"/>
    </xf>
    <xf numFmtId="0" fontId="5" fillId="0" borderId="6" xfId="3" applyFont="1" applyFill="1" applyBorder="1"/>
    <xf numFmtId="0" fontId="2" fillId="0" borderId="6" xfId="5" applyBorder="1"/>
    <xf numFmtId="0" fontId="2" fillId="0" borderId="7" xfId="5" applyBorder="1"/>
    <xf numFmtId="0" fontId="2" fillId="0" borderId="14" xfId="5" applyBorder="1" applyAlignment="1">
      <alignment horizontal="right" indent="1"/>
    </xf>
    <xf numFmtId="0" fontId="2" fillId="0" borderId="8" xfId="5" applyBorder="1"/>
    <xf numFmtId="0" fontId="2" fillId="0" borderId="0" xfId="5" applyBorder="1"/>
    <xf numFmtId="0" fontId="2" fillId="0" borderId="0" xfId="5"/>
    <xf numFmtId="0" fontId="5" fillId="0" borderId="14" xfId="3" applyFont="1" applyFill="1" applyBorder="1"/>
    <xf numFmtId="0" fontId="6" fillId="0" borderId="0" xfId="3" applyFont="1" applyFill="1" applyBorder="1" applyAlignment="1">
      <alignment horizontal="right" indent="1"/>
    </xf>
    <xf numFmtId="0" fontId="6" fillId="0" borderId="2" xfId="3" applyFont="1" applyFill="1" applyBorder="1" applyAlignment="1">
      <alignment horizontal="center"/>
    </xf>
    <xf numFmtId="0" fontId="9" fillId="0" borderId="0" xfId="3" applyFont="1"/>
    <xf numFmtId="0" fontId="10" fillId="0" borderId="11" xfId="3" applyFont="1" applyBorder="1"/>
    <xf numFmtId="0" fontId="10" fillId="0" borderId="0" xfId="3" applyFont="1" applyBorder="1"/>
    <xf numFmtId="0" fontId="10" fillId="0" borderId="13" xfId="3" applyFont="1" applyBorder="1" applyAlignment="1">
      <alignment horizontal="center"/>
    </xf>
    <xf numFmtId="0" fontId="10" fillId="0" borderId="0" xfId="3" applyFont="1"/>
    <xf numFmtId="0" fontId="11" fillId="0" borderId="11" xfId="5" applyFont="1" applyBorder="1"/>
    <xf numFmtId="0" fontId="11" fillId="0" borderId="0" xfId="3" applyFont="1" applyBorder="1"/>
    <xf numFmtId="0" fontId="11" fillId="0" borderId="0" xfId="5" applyFont="1" applyBorder="1"/>
    <xf numFmtId="0" fontId="11" fillId="0" borderId="0" xfId="5" applyFont="1"/>
    <xf numFmtId="171" fontId="11" fillId="0" borderId="0" xfId="6" applyNumberFormat="1" applyFont="1" applyBorder="1" applyAlignment="1"/>
    <xf numFmtId="0" fontId="11" fillId="0" borderId="0" xfId="3" applyFont="1" applyAlignment="1">
      <alignment vertical="center"/>
    </xf>
    <xf numFmtId="0" fontId="9" fillId="0" borderId="11" xfId="3" applyFont="1" applyBorder="1"/>
    <xf numFmtId="0" fontId="9" fillId="0" borderId="0" xfId="3" applyFont="1" applyBorder="1"/>
    <xf numFmtId="0" fontId="9" fillId="0" borderId="0" xfId="3" applyFont="1" applyBorder="1" applyAlignment="1">
      <alignment horizontal="center"/>
    </xf>
    <xf numFmtId="172" fontId="9" fillId="0" borderId="0" xfId="6" applyNumberFormat="1" applyFont="1" applyBorder="1" applyAlignment="1">
      <alignment horizontal="center"/>
    </xf>
    <xf numFmtId="170" fontId="9" fillId="0" borderId="0" xfId="6" applyFont="1" applyBorder="1"/>
    <xf numFmtId="170" fontId="9" fillId="0" borderId="13" xfId="6" applyFont="1" applyBorder="1"/>
    <xf numFmtId="0" fontId="9" fillId="0" borderId="15" xfId="3" applyFont="1" applyBorder="1"/>
    <xf numFmtId="0" fontId="9" fillId="0" borderId="5" xfId="3" applyFont="1" applyBorder="1"/>
    <xf numFmtId="49" fontId="11" fillId="0" borderId="16" xfId="3" applyNumberFormat="1" applyFont="1" applyBorder="1" applyAlignment="1">
      <alignment horizontal="center"/>
    </xf>
    <xf numFmtId="0" fontId="11" fillId="0" borderId="16" xfId="3" applyFont="1" applyBorder="1"/>
    <xf numFmtId="0" fontId="11" fillId="0" borderId="16" xfId="3" applyFont="1" applyBorder="1" applyAlignment="1">
      <alignment horizontal="center"/>
    </xf>
    <xf numFmtId="170" fontId="11" fillId="0" borderId="16" xfId="6" applyFont="1" applyBorder="1"/>
    <xf numFmtId="0" fontId="11" fillId="0" borderId="0" xfId="3" applyFont="1"/>
    <xf numFmtId="0" fontId="11" fillId="0" borderId="4" xfId="3" applyFont="1" applyFill="1" applyBorder="1"/>
    <xf numFmtId="170" fontId="11" fillId="0" borderId="15" xfId="6" applyFont="1" applyFill="1" applyBorder="1"/>
    <xf numFmtId="172" fontId="11" fillId="0" borderId="15" xfId="6" applyNumberFormat="1" applyFont="1" applyFill="1" applyBorder="1" applyAlignment="1">
      <alignment horizontal="center"/>
    </xf>
    <xf numFmtId="170" fontId="11" fillId="0" borderId="5" xfId="6" applyFont="1" applyFill="1" applyBorder="1"/>
    <xf numFmtId="0" fontId="9" fillId="0" borderId="4" xfId="3" applyFont="1" applyFill="1" applyBorder="1"/>
    <xf numFmtId="0" fontId="11" fillId="0" borderId="15" xfId="3" applyFont="1" applyFill="1" applyBorder="1"/>
    <xf numFmtId="0" fontId="9" fillId="0" borderId="15" xfId="3" applyFont="1" applyFill="1" applyBorder="1" applyAlignment="1">
      <alignment horizontal="center"/>
    </xf>
    <xf numFmtId="172" fontId="9" fillId="0" borderId="15" xfId="6" applyNumberFormat="1" applyFont="1" applyFill="1" applyBorder="1" applyAlignment="1">
      <alignment horizontal="center"/>
    </xf>
    <xf numFmtId="170" fontId="9" fillId="0" borderId="15" xfId="6" applyFont="1" applyFill="1" applyBorder="1"/>
    <xf numFmtId="0" fontId="11" fillId="0" borderId="4" xfId="3" applyFont="1" applyBorder="1"/>
    <xf numFmtId="0" fontId="9" fillId="0" borderId="15" xfId="3" applyFont="1" applyBorder="1" applyAlignment="1">
      <alignment horizontal="center"/>
    </xf>
    <xf numFmtId="172" fontId="9" fillId="0" borderId="15" xfId="6" applyNumberFormat="1" applyFont="1" applyBorder="1" applyAlignment="1">
      <alignment horizontal="center"/>
    </xf>
    <xf numFmtId="170" fontId="9" fillId="0" borderId="15" xfId="6" applyFont="1" applyBorder="1"/>
    <xf numFmtId="170" fontId="11" fillId="0" borderId="5" xfId="6" applyFont="1" applyBorder="1"/>
    <xf numFmtId="170" fontId="11" fillId="0" borderId="15" xfId="6" applyFont="1" applyBorder="1"/>
    <xf numFmtId="0" fontId="11" fillId="0" borderId="15" xfId="3" applyFont="1" applyBorder="1" applyAlignment="1">
      <alignment horizontal="center"/>
    </xf>
    <xf numFmtId="172" fontId="11" fillId="0" borderId="15" xfId="6" applyNumberFormat="1" applyFont="1" applyBorder="1" applyAlignment="1">
      <alignment horizontal="center"/>
    </xf>
    <xf numFmtId="0" fontId="11" fillId="0" borderId="17" xfId="3" applyFont="1" applyFill="1" applyBorder="1"/>
    <xf numFmtId="170" fontId="11" fillId="0" borderId="18" xfId="6" applyFont="1" applyFill="1" applyBorder="1"/>
    <xf numFmtId="0" fontId="9" fillId="0" borderId="7" xfId="3" applyFont="1" applyBorder="1"/>
    <xf numFmtId="0" fontId="9" fillId="0" borderId="7" xfId="3" applyFont="1" applyBorder="1" applyAlignment="1">
      <alignment horizontal="center"/>
    </xf>
    <xf numFmtId="172" fontId="9" fillId="0" borderId="7" xfId="6" applyNumberFormat="1" applyFont="1" applyBorder="1" applyAlignment="1">
      <alignment horizontal="center"/>
    </xf>
    <xf numFmtId="170" fontId="9" fillId="0" borderId="7" xfId="6" applyFont="1" applyBorder="1"/>
    <xf numFmtId="170" fontId="11" fillId="0" borderId="8" xfId="6" applyFont="1" applyBorder="1"/>
    <xf numFmtId="0" fontId="9" fillId="0" borderId="8" xfId="3" applyFont="1" applyBorder="1"/>
    <xf numFmtId="49" fontId="11" fillId="0" borderId="16" xfId="3" applyNumberFormat="1" applyFont="1" applyFill="1" applyBorder="1" applyAlignment="1">
      <alignment horizontal="center"/>
    </xf>
    <xf numFmtId="0" fontId="11" fillId="0" borderId="19" xfId="3" applyFont="1" applyBorder="1"/>
    <xf numFmtId="0" fontId="11" fillId="0" borderId="19" xfId="3" applyFont="1" applyBorder="1" applyAlignment="1">
      <alignment horizontal="center"/>
    </xf>
    <xf numFmtId="172" fontId="11" fillId="0" borderId="19" xfId="6" applyNumberFormat="1" applyFont="1" applyBorder="1" applyAlignment="1">
      <alignment horizontal="center"/>
    </xf>
    <xf numFmtId="0" fontId="9" fillId="0" borderId="4" xfId="3" applyFont="1" applyBorder="1"/>
    <xf numFmtId="49" fontId="11" fillId="0" borderId="20" xfId="3" applyNumberFormat="1" applyFont="1" applyBorder="1" applyAlignment="1">
      <alignment horizontal="center"/>
    </xf>
    <xf numFmtId="0" fontId="11" fillId="0" borderId="3" xfId="3" applyFont="1" applyBorder="1"/>
    <xf numFmtId="0" fontId="11" fillId="2" borderId="4" xfId="3" applyFont="1" applyFill="1" applyBorder="1" applyAlignment="1">
      <alignment vertical="center"/>
    </xf>
    <xf numFmtId="0" fontId="11" fillId="2" borderId="15" xfId="3" applyFont="1" applyFill="1" applyBorder="1" applyAlignment="1">
      <alignment vertical="center"/>
    </xf>
    <xf numFmtId="170" fontId="11" fillId="0" borderId="0" xfId="5" applyNumberFormat="1" applyFont="1"/>
    <xf numFmtId="170" fontId="10" fillId="0" borderId="0" xfId="6" applyFont="1" applyBorder="1"/>
    <xf numFmtId="49" fontId="11" fillId="0" borderId="1" xfId="3" applyNumberFormat="1" applyFont="1" applyBorder="1" applyAlignment="1">
      <alignment horizontal="center"/>
    </xf>
    <xf numFmtId="0" fontId="11" fillId="0" borderId="2" xfId="3" applyFont="1" applyBorder="1"/>
    <xf numFmtId="0" fontId="9" fillId="0" borderId="2" xfId="3" applyFont="1" applyBorder="1"/>
    <xf numFmtId="0" fontId="9" fillId="0" borderId="3" xfId="3" applyFont="1" applyBorder="1"/>
    <xf numFmtId="49" fontId="11" fillId="0" borderId="19" xfId="6" applyNumberFormat="1" applyFont="1" applyBorder="1" applyAlignment="1">
      <alignment horizontal="center"/>
    </xf>
    <xf numFmtId="170" fontId="11" fillId="0" borderId="16" xfId="6" applyNumberFormat="1" applyFont="1" applyBorder="1" applyAlignment="1"/>
    <xf numFmtId="170" fontId="11" fillId="0" borderId="24" xfId="6" applyNumberFormat="1" applyFont="1" applyFill="1" applyBorder="1" applyAlignment="1"/>
    <xf numFmtId="170" fontId="11" fillId="0" borderId="24" xfId="6" applyFont="1" applyFill="1" applyBorder="1"/>
    <xf numFmtId="170" fontId="11" fillId="0" borderId="13" xfId="6" applyNumberFormat="1" applyFont="1" applyFill="1" applyBorder="1" applyAlignment="1"/>
    <xf numFmtId="170" fontId="11" fillId="0" borderId="13" xfId="6" applyFont="1" applyFill="1" applyBorder="1"/>
    <xf numFmtId="0" fontId="11" fillId="0" borderId="23" xfId="3" applyFont="1" applyFill="1" applyBorder="1"/>
    <xf numFmtId="170" fontId="11" fillId="0" borderId="23" xfId="6" applyNumberFormat="1" applyFont="1" applyFill="1" applyBorder="1" applyAlignment="1"/>
    <xf numFmtId="170" fontId="11" fillId="0" borderId="23" xfId="6" applyFont="1" applyFill="1" applyBorder="1"/>
    <xf numFmtId="49" fontId="11" fillId="0" borderId="16" xfId="6" applyNumberFormat="1" applyFont="1" applyBorder="1" applyAlignment="1">
      <alignment horizontal="center"/>
    </xf>
    <xf numFmtId="170" fontId="11" fillId="0" borderId="16" xfId="6" applyNumberFormat="1" applyFont="1" applyFill="1" applyBorder="1" applyAlignment="1"/>
    <xf numFmtId="170" fontId="11" fillId="0" borderId="16" xfId="6" applyFont="1" applyFill="1" applyBorder="1"/>
    <xf numFmtId="174" fontId="11" fillId="0" borderId="24" xfId="7" applyNumberFormat="1" applyFont="1" applyFill="1" applyBorder="1"/>
    <xf numFmtId="0" fontId="11" fillId="0" borderId="11" xfId="3" applyFont="1" applyFill="1" applyBorder="1"/>
    <xf numFmtId="170" fontId="11" fillId="0" borderId="25" xfId="6" applyNumberFormat="1" applyFont="1" applyFill="1" applyBorder="1" applyAlignment="1"/>
    <xf numFmtId="170" fontId="11" fillId="0" borderId="25" xfId="6" applyFont="1" applyFill="1" applyBorder="1"/>
    <xf numFmtId="0" fontId="11" fillId="0" borderId="0" xfId="3" applyFont="1" applyFill="1" applyBorder="1"/>
    <xf numFmtId="172" fontId="11" fillId="0" borderId="0" xfId="6" applyNumberFormat="1" applyFont="1" applyFill="1" applyBorder="1" applyAlignment="1">
      <alignment horizontal="center"/>
    </xf>
    <xf numFmtId="170" fontId="11" fillId="0" borderId="0" xfId="6" applyFont="1" applyFill="1" applyBorder="1"/>
    <xf numFmtId="170" fontId="11" fillId="0" borderId="25" xfId="6" applyNumberFormat="1" applyFont="1" applyFill="1" applyBorder="1" applyAlignment="1">
      <alignment horizontal="center"/>
    </xf>
    <xf numFmtId="0" fontId="11" fillId="0" borderId="18" xfId="3" applyFont="1" applyFill="1" applyBorder="1"/>
    <xf numFmtId="170" fontId="11" fillId="0" borderId="18" xfId="6" applyNumberFormat="1" applyFont="1" applyFill="1" applyBorder="1" applyAlignment="1">
      <alignment horizontal="center"/>
    </xf>
    <xf numFmtId="49" fontId="11" fillId="0" borderId="16" xfId="6" applyNumberFormat="1" applyFont="1" applyFill="1" applyBorder="1" applyAlignment="1">
      <alignment horizontal="center"/>
    </xf>
    <xf numFmtId="170" fontId="11" fillId="0" borderId="15" xfId="6" applyNumberFormat="1" applyFont="1" applyFill="1" applyBorder="1" applyAlignment="1">
      <alignment horizontal="center"/>
    </xf>
    <xf numFmtId="0" fontId="11" fillId="0" borderId="22" xfId="3" applyFont="1" applyFill="1" applyBorder="1"/>
    <xf numFmtId="170" fontId="11" fillId="0" borderId="26" xfId="6" applyFont="1" applyFill="1" applyBorder="1"/>
    <xf numFmtId="49" fontId="11" fillId="0" borderId="11" xfId="6" applyNumberFormat="1" applyFont="1" applyFill="1" applyBorder="1" applyAlignment="1">
      <alignment horizontal="left"/>
    </xf>
    <xf numFmtId="170" fontId="11" fillId="0" borderId="0" xfId="6" applyNumberFormat="1" applyFont="1" applyFill="1" applyBorder="1" applyAlignment="1">
      <alignment horizontal="center"/>
    </xf>
    <xf numFmtId="170" fontId="11" fillId="0" borderId="22" xfId="6" applyNumberFormat="1" applyFont="1" applyFill="1" applyBorder="1" applyAlignment="1">
      <alignment horizontal="center"/>
    </xf>
    <xf numFmtId="170" fontId="11" fillId="0" borderId="22" xfId="6" applyFont="1" applyFill="1" applyBorder="1"/>
    <xf numFmtId="0" fontId="11" fillId="0" borderId="0" xfId="3" applyFont="1" applyFill="1" applyBorder="1" applyAlignment="1">
      <alignment horizontal="center"/>
    </xf>
    <xf numFmtId="170" fontId="11" fillId="0" borderId="19" xfId="6" applyNumberFormat="1" applyFont="1" applyFill="1" applyBorder="1" applyAlignment="1">
      <alignment horizontal="center"/>
    </xf>
    <xf numFmtId="170" fontId="11" fillId="0" borderId="19" xfId="6" applyFont="1" applyFill="1" applyBorder="1"/>
    <xf numFmtId="49" fontId="11" fillId="0" borderId="29" xfId="3" applyNumberFormat="1" applyFont="1" applyBorder="1" applyAlignment="1">
      <alignment horizontal="center"/>
    </xf>
    <xf numFmtId="0" fontId="11" fillId="0" borderId="23" xfId="3" applyFont="1" applyFill="1" applyBorder="1" applyAlignment="1">
      <alignment horizontal="center"/>
    </xf>
    <xf numFmtId="170" fontId="11" fillId="0" borderId="23" xfId="6" applyNumberFormat="1" applyFont="1" applyFill="1" applyBorder="1" applyAlignment="1">
      <alignment horizontal="center"/>
    </xf>
    <xf numFmtId="49" fontId="11" fillId="0" borderId="30" xfId="3" applyNumberFormat="1" applyFont="1" applyBorder="1" applyAlignment="1">
      <alignment horizontal="center"/>
    </xf>
    <xf numFmtId="0" fontId="11" fillId="0" borderId="19" xfId="3" applyFont="1" applyFill="1" applyBorder="1"/>
    <xf numFmtId="0" fontId="11" fillId="0" borderId="19" xfId="3" applyFont="1" applyFill="1" applyBorder="1" applyAlignment="1">
      <alignment horizontal="center"/>
    </xf>
    <xf numFmtId="0" fontId="11" fillId="0" borderId="16" xfId="3" applyFont="1" applyFill="1" applyBorder="1"/>
    <xf numFmtId="170" fontId="11" fillId="0" borderId="16" xfId="6" applyNumberFormat="1" applyFont="1" applyFill="1" applyBorder="1" applyAlignment="1">
      <alignment horizontal="center"/>
    </xf>
    <xf numFmtId="170" fontId="11" fillId="0" borderId="21" xfId="6" applyFont="1" applyFill="1" applyBorder="1"/>
    <xf numFmtId="0" fontId="11" fillId="0" borderId="20" xfId="3" applyFont="1" applyFill="1" applyBorder="1"/>
    <xf numFmtId="170" fontId="11" fillId="0" borderId="0" xfId="6" applyNumberFormat="1" applyFont="1" applyBorder="1" applyAlignment="1">
      <alignment horizontal="center"/>
    </xf>
    <xf numFmtId="170" fontId="11" fillId="0" borderId="0" xfId="6" applyFont="1" applyBorder="1"/>
    <xf numFmtId="170" fontId="11" fillId="0" borderId="13" xfId="6" applyFont="1" applyBorder="1"/>
    <xf numFmtId="170" fontId="11" fillId="0" borderId="15" xfId="6" applyNumberFormat="1" applyFont="1" applyBorder="1" applyAlignment="1">
      <alignment horizontal="center"/>
    </xf>
    <xf numFmtId="0" fontId="11" fillId="0" borderId="31" xfId="3" applyFont="1" applyFill="1" applyBorder="1"/>
    <xf numFmtId="170" fontId="11" fillId="0" borderId="31" xfId="6" applyNumberFormat="1" applyFont="1" applyFill="1" applyBorder="1" applyAlignment="1">
      <alignment horizontal="center"/>
    </xf>
    <xf numFmtId="170" fontId="11" fillId="0" borderId="31" xfId="6" applyFont="1" applyFill="1" applyBorder="1"/>
    <xf numFmtId="0" fontId="11" fillId="0" borderId="28" xfId="3" applyFont="1" applyFill="1" applyBorder="1"/>
    <xf numFmtId="170" fontId="11" fillId="0" borderId="28" xfId="6" applyNumberFormat="1" applyFont="1" applyFill="1" applyBorder="1" applyAlignment="1">
      <alignment horizontal="center"/>
    </xf>
    <xf numFmtId="170" fontId="11" fillId="0" borderId="28" xfId="6" applyFont="1" applyFill="1" applyBorder="1"/>
    <xf numFmtId="0" fontId="9" fillId="0" borderId="0" xfId="3" applyFont="1" applyFill="1"/>
    <xf numFmtId="0" fontId="10" fillId="0" borderId="11" xfId="3" applyFont="1" applyFill="1" applyBorder="1"/>
    <xf numFmtId="0" fontId="10" fillId="0" borderId="0" xfId="3" applyFont="1" applyFill="1" applyBorder="1"/>
    <xf numFmtId="0" fontId="10" fillId="0" borderId="0" xfId="3" applyFont="1" applyFill="1" applyBorder="1" applyAlignment="1">
      <alignment horizontal="center"/>
    </xf>
    <xf numFmtId="0" fontId="10" fillId="0" borderId="13" xfId="3" applyFont="1" applyFill="1" applyBorder="1" applyAlignment="1">
      <alignment horizontal="center"/>
    </xf>
    <xf numFmtId="0" fontId="10" fillId="0" borderId="0" xfId="3" applyFont="1" applyFill="1"/>
    <xf numFmtId="0" fontId="11" fillId="0" borderId="0" xfId="3" applyFont="1" applyFill="1" applyBorder="1" applyAlignment="1"/>
    <xf numFmtId="0" fontId="10" fillId="0" borderId="6" xfId="3" applyFont="1" applyFill="1" applyBorder="1"/>
    <xf numFmtId="0" fontId="10" fillId="0" borderId="7" xfId="3" applyFont="1" applyFill="1" applyBorder="1"/>
    <xf numFmtId="0" fontId="10" fillId="0" borderId="7" xfId="3" applyFont="1" applyFill="1" applyBorder="1" applyAlignment="1">
      <alignment horizontal="center"/>
    </xf>
    <xf numFmtId="0" fontId="10" fillId="0" borderId="8" xfId="3" applyFont="1" applyFill="1" applyBorder="1"/>
    <xf numFmtId="2" fontId="11" fillId="0" borderId="11" xfId="3" applyNumberFormat="1" applyFont="1" applyFill="1" applyBorder="1" applyAlignment="1" applyProtection="1">
      <alignment horizontal="centerContinuous"/>
    </xf>
    <xf numFmtId="2" fontId="11" fillId="0" borderId="0" xfId="3" applyNumberFormat="1" applyFont="1" applyFill="1" applyBorder="1" applyAlignment="1" applyProtection="1">
      <alignment horizontal="centerContinuous"/>
    </xf>
    <xf numFmtId="2" fontId="11" fillId="0" borderId="13" xfId="3" applyNumberFormat="1" applyFont="1" applyFill="1" applyBorder="1" applyAlignment="1" applyProtection="1">
      <alignment horizontal="centerContinuous"/>
    </xf>
    <xf numFmtId="0" fontId="11" fillId="0" borderId="0" xfId="3" applyFont="1" applyFill="1"/>
    <xf numFmtId="0" fontId="10" fillId="0" borderId="13" xfId="3" applyFont="1" applyFill="1" applyBorder="1"/>
    <xf numFmtId="0" fontId="11" fillId="0" borderId="11" xfId="3" applyFont="1" applyFill="1" applyBorder="1" applyAlignment="1" applyProtection="1">
      <alignment horizontal="left"/>
    </xf>
    <xf numFmtId="0" fontId="11" fillId="0" borderId="0" xfId="3" applyFont="1" applyFill="1" applyBorder="1" applyProtection="1"/>
    <xf numFmtId="0" fontId="11" fillId="0" borderId="13" xfId="3" applyFont="1" applyFill="1" applyBorder="1"/>
    <xf numFmtId="10" fontId="11" fillId="0" borderId="0" xfId="7" applyNumberFormat="1" applyFont="1" applyFill="1" applyBorder="1" applyProtection="1"/>
    <xf numFmtId="4" fontId="11" fillId="0" borderId="0" xfId="3" applyNumberFormat="1" applyFont="1" applyFill="1" applyBorder="1"/>
    <xf numFmtId="176" fontId="11" fillId="0" borderId="0" xfId="8" applyFont="1" applyFill="1" applyBorder="1" applyProtection="1"/>
    <xf numFmtId="39" fontId="11" fillId="0" borderId="0" xfId="3" applyNumberFormat="1" applyFont="1" applyFill="1" applyBorder="1" applyProtection="1"/>
    <xf numFmtId="4" fontId="11" fillId="0" borderId="13" xfId="3" applyNumberFormat="1" applyFont="1" applyFill="1" applyBorder="1"/>
    <xf numFmtId="177" fontId="11" fillId="0" borderId="0" xfId="8" applyNumberFormat="1" applyFont="1" applyFill="1" applyBorder="1"/>
    <xf numFmtId="0" fontId="11" fillId="0" borderId="0" xfId="3" applyFont="1" applyFill="1" applyBorder="1" applyAlignment="1">
      <alignment horizontal="left"/>
    </xf>
    <xf numFmtId="0" fontId="11" fillId="0" borderId="0" xfId="3" applyFont="1" applyFill="1" applyBorder="1" applyAlignment="1">
      <alignment horizontal="right"/>
    </xf>
    <xf numFmtId="39" fontId="11" fillId="0" borderId="5" xfId="3" applyNumberFormat="1" applyFont="1" applyFill="1" applyBorder="1" applyProtection="1"/>
    <xf numFmtId="170" fontId="11" fillId="0" borderId="0" xfId="6" applyFont="1" applyFill="1" applyBorder="1" applyProtection="1"/>
    <xf numFmtId="10" fontId="11" fillId="0" borderId="0" xfId="3" applyNumberFormat="1" applyFont="1" applyFill="1" applyBorder="1" applyProtection="1"/>
    <xf numFmtId="39" fontId="11" fillId="0" borderId="13" xfId="3" applyNumberFormat="1" applyFont="1" applyFill="1" applyBorder="1" applyProtection="1"/>
    <xf numFmtId="0" fontId="11" fillId="0" borderId="4" xfId="3" applyFont="1" applyFill="1" applyBorder="1" applyAlignment="1">
      <alignment vertical="center"/>
    </xf>
    <xf numFmtId="0" fontId="11" fillId="0" borderId="15" xfId="3" applyFont="1" applyFill="1" applyBorder="1" applyAlignment="1">
      <alignment vertical="center"/>
    </xf>
    <xf numFmtId="0" fontId="11" fillId="0" borderId="15" xfId="3" applyFont="1" applyFill="1" applyBorder="1" applyAlignment="1">
      <alignment horizontal="right" vertical="center" indent="1"/>
    </xf>
    <xf numFmtId="39" fontId="11" fillId="0" borderId="5" xfId="3" applyNumberFormat="1" applyFont="1" applyFill="1" applyBorder="1" applyAlignment="1" applyProtection="1">
      <alignment vertical="center"/>
    </xf>
    <xf numFmtId="0" fontId="11" fillId="0" borderId="0" xfId="3" applyFont="1" applyFill="1" applyAlignment="1">
      <alignment vertical="center"/>
    </xf>
    <xf numFmtId="9" fontId="11" fillId="0" borderId="0" xfId="7" applyFont="1" applyFill="1" applyBorder="1"/>
    <xf numFmtId="0" fontId="11" fillId="2" borderId="15" xfId="3" applyFont="1" applyFill="1" applyBorder="1" applyAlignment="1">
      <alignment horizontal="right" vertical="center" indent="1"/>
    </xf>
    <xf numFmtId="39" fontId="11" fillId="2" borderId="5" xfId="3" applyNumberFormat="1" applyFont="1" applyFill="1" applyBorder="1" applyAlignment="1" applyProtection="1">
      <alignment vertical="center"/>
    </xf>
    <xf numFmtId="170" fontId="12" fillId="0" borderId="5" xfId="6" applyFont="1" applyFill="1" applyBorder="1"/>
    <xf numFmtId="0" fontId="12" fillId="0" borderId="15" xfId="3" applyFont="1" applyFill="1" applyBorder="1"/>
    <xf numFmtId="49" fontId="12" fillId="0" borderId="4" xfId="3" applyNumberFormat="1" applyFont="1" applyBorder="1" applyAlignment="1">
      <alignment horizontal="center"/>
    </xf>
    <xf numFmtId="0" fontId="12" fillId="0" borderId="15" xfId="3" applyFont="1" applyBorder="1"/>
    <xf numFmtId="49" fontId="12" fillId="0" borderId="4" xfId="3" applyNumberFormat="1" applyFont="1" applyFill="1" applyBorder="1" applyAlignment="1">
      <alignment horizontal="center"/>
    </xf>
    <xf numFmtId="170" fontId="12" fillId="0" borderId="15" xfId="6" applyNumberFormat="1" applyFont="1" applyFill="1" applyBorder="1" applyAlignment="1">
      <alignment horizontal="center"/>
    </xf>
    <xf numFmtId="170" fontId="12" fillId="0" borderId="15" xfId="6" applyFont="1" applyFill="1" applyBorder="1"/>
    <xf numFmtId="170" fontId="12" fillId="0" borderId="5" xfId="6" applyFont="1" applyBorder="1"/>
    <xf numFmtId="0" fontId="4" fillId="2" borderId="4" xfId="3" applyFont="1" applyFill="1" applyBorder="1" applyAlignment="1">
      <alignment horizontal="right" indent="1"/>
    </xf>
    <xf numFmtId="0" fontId="4" fillId="2" borderId="15" xfId="3" applyFont="1" applyFill="1" applyBorder="1"/>
    <xf numFmtId="4" fontId="4" fillId="2" borderId="9" xfId="3" applyNumberFormat="1" applyFont="1" applyFill="1" applyBorder="1" applyAlignment="1">
      <alignment horizontal="right" indent="1"/>
    </xf>
    <xf numFmtId="164" fontId="5" fillId="0" borderId="0" xfId="1" applyFont="1"/>
    <xf numFmtId="167" fontId="5" fillId="0" borderId="8" xfId="3" applyNumberFormat="1" applyFont="1" applyFill="1" applyBorder="1" applyAlignment="1">
      <alignment horizontal="right"/>
    </xf>
    <xf numFmtId="167" fontId="5" fillId="0" borderId="0" xfId="2" applyNumberFormat="1" applyFont="1"/>
    <xf numFmtId="165" fontId="5" fillId="0" borderId="0" xfId="2" applyNumberFormat="1" applyFont="1"/>
    <xf numFmtId="4" fontId="5" fillId="0" borderId="0" xfId="3" applyNumberFormat="1" applyFont="1"/>
    <xf numFmtId="166" fontId="6" fillId="0" borderId="0" xfId="2" applyNumberFormat="1" applyFont="1"/>
    <xf numFmtId="0" fontId="5" fillId="2" borderId="15" xfId="3" applyFont="1" applyFill="1" applyBorder="1"/>
    <xf numFmtId="10" fontId="4" fillId="2" borderId="5" xfId="3" applyNumberFormat="1" applyFont="1" applyFill="1" applyBorder="1" applyAlignment="1">
      <alignment horizontal="center"/>
    </xf>
    <xf numFmtId="0" fontId="11" fillId="2" borderId="15" xfId="3" applyFont="1" applyFill="1" applyBorder="1" applyAlignment="1">
      <alignment horizontal="centerContinuous" vertical="center"/>
    </xf>
    <xf numFmtId="0" fontId="11" fillId="2" borderId="5" xfId="3" applyFont="1" applyFill="1" applyBorder="1" applyAlignment="1">
      <alignment horizontal="centerContinuous" vertical="center"/>
    </xf>
    <xf numFmtId="0" fontId="11" fillId="2" borderId="3" xfId="3" applyFont="1" applyFill="1" applyBorder="1" applyAlignment="1">
      <alignment horizontal="center" vertical="center"/>
    </xf>
    <xf numFmtId="0" fontId="11" fillId="2" borderId="8" xfId="3" applyFont="1" applyFill="1" applyBorder="1" applyAlignment="1">
      <alignment horizontal="center" vertical="center"/>
    </xf>
    <xf numFmtId="171" fontId="12" fillId="0" borderId="0" xfId="6" applyNumberFormat="1" applyFont="1" applyBorder="1" applyAlignment="1"/>
    <xf numFmtId="0" fontId="12" fillId="2" borderId="4" xfId="3" applyFont="1" applyFill="1" applyBorder="1" applyAlignment="1">
      <alignment vertical="center"/>
    </xf>
    <xf numFmtId="0" fontId="12" fillId="2" borderId="15" xfId="3" applyFont="1" applyFill="1" applyBorder="1" applyAlignment="1">
      <alignment vertical="center"/>
    </xf>
    <xf numFmtId="0" fontId="12" fillId="2" borderId="15" xfId="3" applyFont="1" applyFill="1" applyBorder="1" applyAlignment="1">
      <alignment horizontal="center" vertical="center"/>
    </xf>
    <xf numFmtId="170" fontId="12" fillId="2" borderId="15" xfId="6" applyNumberFormat="1" applyFont="1" applyFill="1" applyBorder="1" applyAlignment="1">
      <alignment horizontal="center" vertical="center"/>
    </xf>
    <xf numFmtId="170" fontId="12" fillId="2" borderId="15" xfId="6" applyFont="1" applyFill="1" applyBorder="1" applyAlignment="1">
      <alignment vertical="center"/>
    </xf>
    <xf numFmtId="4" fontId="12" fillId="2" borderId="5" xfId="6" applyNumberFormat="1" applyFont="1" applyFill="1" applyBorder="1" applyAlignment="1">
      <alignment vertical="center"/>
    </xf>
    <xf numFmtId="173" fontId="12" fillId="2" borderId="15" xfId="3" applyNumberFormat="1" applyFont="1" applyFill="1" applyBorder="1" applyAlignment="1">
      <alignment vertical="center"/>
    </xf>
    <xf numFmtId="170" fontId="12" fillId="2" borderId="15" xfId="6" applyFont="1" applyFill="1" applyBorder="1" applyAlignment="1">
      <alignment horizontal="right" vertical="center"/>
    </xf>
    <xf numFmtId="170" fontId="12" fillId="2" borderId="5" xfId="6" applyFont="1" applyFill="1" applyBorder="1" applyAlignment="1">
      <alignment vertical="center"/>
    </xf>
    <xf numFmtId="0" fontId="13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2" fillId="0" borderId="0" xfId="5" applyAlignment="1">
      <alignment vertical="top"/>
    </xf>
    <xf numFmtId="0" fontId="4" fillId="2" borderId="9" xfId="3" applyFont="1" applyFill="1" applyBorder="1" applyAlignment="1">
      <alignment horizontal="center"/>
    </xf>
    <xf numFmtId="0" fontId="4" fillId="2" borderId="8" xfId="3" applyFont="1" applyFill="1" applyBorder="1" applyAlignment="1">
      <alignment horizontal="center"/>
    </xf>
    <xf numFmtId="164" fontId="5" fillId="0" borderId="0" xfId="1" applyNumberFormat="1" applyFont="1"/>
    <xf numFmtId="0" fontId="5" fillId="0" borderId="11" xfId="3" applyFont="1" applyFill="1" applyBorder="1" applyAlignment="1">
      <alignment horizontal="right" indent="1"/>
    </xf>
    <xf numFmtId="0" fontId="5" fillId="0" borderId="0" xfId="3" applyFont="1" applyFill="1" applyBorder="1"/>
    <xf numFmtId="0" fontId="5" fillId="0" borderId="12" xfId="3" applyFont="1" applyFill="1" applyBorder="1" applyAlignment="1">
      <alignment horizontal="center"/>
    </xf>
    <xf numFmtId="0" fontId="5" fillId="0" borderId="13" xfId="3" applyFont="1" applyFill="1" applyBorder="1" applyAlignment="1">
      <alignment horizontal="center"/>
    </xf>
    <xf numFmtId="0" fontId="4" fillId="0" borderId="11" xfId="3" applyFont="1" applyFill="1" applyBorder="1" applyAlignment="1">
      <alignment horizontal="right" indent="1"/>
    </xf>
    <xf numFmtId="0" fontId="18" fillId="0" borderId="0" xfId="3" applyFont="1" applyFill="1" applyBorder="1"/>
    <xf numFmtId="166" fontId="5" fillId="0" borderId="13" xfId="3" applyNumberFormat="1" applyFont="1" applyFill="1" applyBorder="1" applyAlignment="1">
      <alignment horizontal="center"/>
    </xf>
    <xf numFmtId="4" fontId="5" fillId="0" borderId="12" xfId="3" applyNumberFormat="1" applyFont="1" applyFill="1" applyBorder="1" applyAlignment="1">
      <alignment horizontal="center"/>
    </xf>
    <xf numFmtId="168" fontId="5" fillId="0" borderId="13" xfId="3" applyNumberFormat="1" applyFont="1" applyFill="1" applyBorder="1" applyAlignment="1">
      <alignment horizontal="right"/>
    </xf>
    <xf numFmtId="167" fontId="5" fillId="0" borderId="13" xfId="3" applyNumberFormat="1" applyFont="1" applyFill="1" applyBorder="1" applyAlignment="1">
      <alignment horizontal="right"/>
    </xf>
    <xf numFmtId="0" fontId="5" fillId="0" borderId="12" xfId="3" applyFont="1" applyFill="1" applyBorder="1" applyAlignment="1">
      <alignment horizontal="right" indent="1"/>
    </xf>
    <xf numFmtId="10" fontId="5" fillId="0" borderId="0" xfId="3" applyNumberFormat="1" applyFont="1" applyFill="1" applyBorder="1"/>
    <xf numFmtId="4" fontId="5" fillId="0" borderId="12" xfId="3" applyNumberFormat="1" applyFont="1" applyFill="1" applyBorder="1" applyAlignment="1">
      <alignment horizontal="right" indent="1"/>
    </xf>
    <xf numFmtId="10" fontId="5" fillId="0" borderId="13" xfId="3" applyNumberFormat="1" applyFont="1" applyFill="1" applyBorder="1" applyAlignment="1">
      <alignment horizontal="center"/>
    </xf>
    <xf numFmtId="4" fontId="4" fillId="2" borderId="9" xfId="3" applyNumberFormat="1" applyFont="1" applyFill="1" applyBorder="1" applyAlignment="1">
      <alignment horizontal="center" wrapText="1"/>
    </xf>
    <xf numFmtId="10" fontId="17" fillId="0" borderId="32" xfId="2" applyNumberFormat="1" applyFont="1" applyBorder="1"/>
    <xf numFmtId="10" fontId="19" fillId="0" borderId="0" xfId="2" applyNumberFormat="1" applyFont="1"/>
    <xf numFmtId="4" fontId="0" fillId="0" borderId="0" xfId="0" applyNumberFormat="1"/>
    <xf numFmtId="0" fontId="0" fillId="0" borderId="0" xfId="0" applyAlignment="1">
      <alignment horizontal="center"/>
    </xf>
    <xf numFmtId="164" fontId="11" fillId="0" borderId="0" xfId="1" applyFont="1"/>
    <xf numFmtId="0" fontId="12" fillId="0" borderId="7" xfId="3" applyFont="1" applyBorder="1"/>
    <xf numFmtId="173" fontId="11" fillId="0" borderId="18" xfId="6" applyNumberFormat="1" applyFont="1" applyFill="1" applyBorder="1" applyAlignment="1">
      <alignment horizontal="center"/>
    </xf>
    <xf numFmtId="2" fontId="11" fillId="0" borderId="19" xfId="3" applyNumberFormat="1" applyFont="1" applyFill="1" applyBorder="1" applyAlignment="1">
      <alignment horizontal="center"/>
    </xf>
    <xf numFmtId="170" fontId="11" fillId="0" borderId="16" xfId="6" applyFont="1" applyBorder="1" applyAlignment="1"/>
    <xf numFmtId="10" fontId="11" fillId="0" borderId="14" xfId="3" applyNumberFormat="1" applyFont="1" applyFill="1" applyBorder="1" applyAlignment="1">
      <alignment horizontal="center"/>
    </xf>
    <xf numFmtId="170" fontId="11" fillId="0" borderId="17" xfId="6" applyNumberFormat="1" applyFont="1" applyFill="1" applyBorder="1" applyAlignment="1">
      <alignment horizontal="center"/>
    </xf>
    <xf numFmtId="170" fontId="11" fillId="0" borderId="17" xfId="6" applyFont="1" applyFill="1" applyBorder="1"/>
    <xf numFmtId="164" fontId="22" fillId="0" borderId="0" xfId="1" applyFont="1"/>
    <xf numFmtId="0" fontId="21" fillId="0" borderId="0" xfId="0" applyFont="1" applyAlignment="1">
      <alignment horizontal="center"/>
    </xf>
    <xf numFmtId="0" fontId="20" fillId="0" borderId="0" xfId="0" applyFont="1"/>
    <xf numFmtId="0" fontId="0" fillId="0" borderId="0" xfId="0" applyAlignment="1">
      <alignment horizontal="right"/>
    </xf>
    <xf numFmtId="0" fontId="20" fillId="0" borderId="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9" xfId="0" applyBorder="1"/>
    <xf numFmtId="0" fontId="20" fillId="0" borderId="9" xfId="0" applyFont="1" applyBorder="1" applyAlignment="1">
      <alignment horizontal="justify" vertical="top"/>
    </xf>
    <xf numFmtId="0" fontId="0" fillId="0" borderId="9" xfId="0" applyBorder="1" applyAlignment="1">
      <alignment vertical="top"/>
    </xf>
    <xf numFmtId="0" fontId="0" fillId="0" borderId="0" xfId="0" quotePrefix="1"/>
    <xf numFmtId="0" fontId="0" fillId="0" borderId="9" xfId="0" applyBorder="1" applyAlignment="1">
      <alignment horizontal="center" vertical="top"/>
    </xf>
    <xf numFmtId="0" fontId="20" fillId="4" borderId="9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center" vertical="top"/>
    </xf>
    <xf numFmtId="0" fontId="0" fillId="0" borderId="9" xfId="0" applyBorder="1" applyAlignment="1">
      <alignment vertical="center"/>
    </xf>
    <xf numFmtId="0" fontId="0" fillId="0" borderId="9" xfId="0" applyFont="1" applyBorder="1" applyAlignment="1">
      <alignment horizontal="justify" vertical="center"/>
    </xf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0" fontId="0" fillId="4" borderId="9" xfId="0" applyFill="1" applyBorder="1"/>
    <xf numFmtId="4" fontId="20" fillId="4" borderId="9" xfId="0" applyNumberFormat="1" applyFont="1" applyFill="1" applyBorder="1" applyAlignment="1">
      <alignment vertical="top"/>
    </xf>
    <xf numFmtId="2" fontId="0" fillId="0" borderId="0" xfId="0" applyNumberFormat="1"/>
    <xf numFmtId="0" fontId="11" fillId="0" borderId="0" xfId="3" applyFont="1" applyFill="1" applyBorder="1" applyAlignment="1">
      <alignment horizontal="right"/>
    </xf>
    <xf numFmtId="10" fontId="5" fillId="0" borderId="13" xfId="3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2" fontId="0" fillId="0" borderId="0" xfId="0" applyNumberFormat="1" applyAlignment="1">
      <alignment vertical="center"/>
    </xf>
    <xf numFmtId="49" fontId="11" fillId="0" borderId="16" xfId="6" applyNumberFormat="1" applyFont="1" applyFill="1" applyBorder="1" applyAlignment="1">
      <alignment horizontal="center" vertical="center"/>
    </xf>
    <xf numFmtId="0" fontId="11" fillId="0" borderId="17" xfId="3" applyFont="1" applyFill="1" applyBorder="1" applyAlignment="1">
      <alignment vertical="center"/>
    </xf>
    <xf numFmtId="170" fontId="11" fillId="0" borderId="16" xfId="6" applyNumberFormat="1" applyFont="1" applyFill="1" applyBorder="1" applyAlignment="1">
      <alignment horizontal="center" vertical="center"/>
    </xf>
    <xf numFmtId="170" fontId="11" fillId="0" borderId="16" xfId="6" applyFont="1" applyFill="1" applyBorder="1" applyAlignment="1">
      <alignment vertical="center"/>
    </xf>
    <xf numFmtId="0" fontId="11" fillId="0" borderId="16" xfId="3" applyFont="1" applyFill="1" applyBorder="1" applyAlignment="1">
      <alignment horizontal="center" vertical="center"/>
    </xf>
    <xf numFmtId="49" fontId="11" fillId="0" borderId="30" xfId="3" applyNumberFormat="1" applyFont="1" applyFill="1" applyBorder="1" applyAlignment="1">
      <alignment horizontal="center"/>
    </xf>
    <xf numFmtId="170" fontId="11" fillId="0" borderId="27" xfId="6" applyNumberFormat="1" applyFont="1" applyFill="1" applyBorder="1" applyAlignment="1">
      <alignment horizontal="center"/>
    </xf>
    <xf numFmtId="170" fontId="11" fillId="0" borderId="34" xfId="6" applyNumberFormat="1" applyFont="1" applyFill="1" applyBorder="1" applyAlignment="1">
      <alignment horizontal="center"/>
    </xf>
    <xf numFmtId="170" fontId="11" fillId="0" borderId="10" xfId="6" applyFont="1" applyFill="1" applyBorder="1"/>
    <xf numFmtId="170" fontId="11" fillId="0" borderId="12" xfId="6" applyFont="1" applyFill="1" applyBorder="1"/>
    <xf numFmtId="166" fontId="4" fillId="2" borderId="13" xfId="4" applyNumberFormat="1" applyFont="1" applyFill="1" applyBorder="1" applyAlignment="1">
      <alignment horizontal="right"/>
    </xf>
    <xf numFmtId="166" fontId="4" fillId="0" borderId="3" xfId="3" applyNumberFormat="1" applyFont="1" applyFill="1" applyBorder="1" applyAlignment="1">
      <alignment horizontal="right"/>
    </xf>
    <xf numFmtId="4" fontId="4" fillId="0" borderId="10" xfId="3" applyNumberFormat="1" applyFont="1" applyFill="1" applyBorder="1" applyAlignment="1">
      <alignment horizontal="left" vertical="center"/>
    </xf>
    <xf numFmtId="166" fontId="4" fillId="2" borderId="9" xfId="4" applyNumberFormat="1" applyFont="1" applyFill="1" applyBorder="1" applyAlignment="1">
      <alignment horizontal="right"/>
    </xf>
    <xf numFmtId="4" fontId="20" fillId="0" borderId="32" xfId="0" applyNumberFormat="1" applyFont="1" applyFill="1" applyBorder="1"/>
    <xf numFmtId="49" fontId="11" fillId="0" borderId="23" xfId="6" applyNumberFormat="1" applyFont="1" applyBorder="1" applyAlignment="1">
      <alignment horizontal="center"/>
    </xf>
    <xf numFmtId="0" fontId="11" fillId="0" borderId="24" xfId="3" applyFont="1" applyFill="1" applyBorder="1"/>
    <xf numFmtId="0" fontId="11" fillId="0" borderId="24" xfId="3" applyFont="1" applyFill="1" applyBorder="1" applyAlignment="1">
      <alignment horizontal="center"/>
    </xf>
    <xf numFmtId="49" fontId="11" fillId="0" borderId="12" xfId="6" applyNumberFormat="1" applyFont="1" applyBorder="1" applyAlignment="1">
      <alignment horizontal="center"/>
    </xf>
    <xf numFmtId="0" fontId="11" fillId="0" borderId="13" xfId="3" applyFont="1" applyFill="1" applyBorder="1" applyAlignment="1">
      <alignment horizontal="center"/>
    </xf>
    <xf numFmtId="0" fontId="11" fillId="0" borderId="16" xfId="3" applyFont="1" applyFill="1" applyBorder="1" applyAlignment="1">
      <alignment horizontal="center"/>
    </xf>
    <xf numFmtId="0" fontId="11" fillId="0" borderId="25" xfId="3" applyFont="1" applyFill="1" applyBorder="1" applyAlignment="1">
      <alignment horizontal="center"/>
    </xf>
    <xf numFmtId="0" fontId="11" fillId="0" borderId="15" xfId="3" applyFont="1" applyFill="1" applyBorder="1" applyAlignment="1">
      <alignment horizontal="center"/>
    </xf>
    <xf numFmtId="0" fontId="11" fillId="0" borderId="11" xfId="3" applyFont="1" applyBorder="1"/>
    <xf numFmtId="49" fontId="11" fillId="0" borderId="19" xfId="6" applyNumberFormat="1" applyFont="1" applyFill="1" applyBorder="1" applyAlignment="1">
      <alignment horizontal="center"/>
    </xf>
    <xf numFmtId="0" fontId="11" fillId="0" borderId="25" xfId="3" applyFont="1" applyFill="1" applyBorder="1"/>
    <xf numFmtId="0" fontId="11" fillId="0" borderId="18" xfId="3" applyFont="1" applyFill="1" applyBorder="1" applyAlignment="1">
      <alignment horizontal="center"/>
    </xf>
    <xf numFmtId="0" fontId="11" fillId="0" borderId="22" xfId="3" applyFont="1" applyFill="1" applyBorder="1" applyAlignment="1">
      <alignment horizontal="center"/>
    </xf>
    <xf numFmtId="0" fontId="11" fillId="0" borderId="27" xfId="3" applyFont="1" applyFill="1" applyBorder="1"/>
    <xf numFmtId="170" fontId="11" fillId="0" borderId="24" xfId="6" applyNumberFormat="1" applyFont="1" applyFill="1" applyBorder="1" applyAlignment="1">
      <alignment horizontal="center"/>
    </xf>
    <xf numFmtId="0" fontId="12" fillId="0" borderId="15" xfId="3" applyFont="1" applyFill="1" applyBorder="1" applyAlignment="1">
      <alignment horizontal="center"/>
    </xf>
    <xf numFmtId="170" fontId="11" fillId="3" borderId="23" xfId="6" applyFont="1" applyFill="1" applyBorder="1"/>
    <xf numFmtId="49" fontId="11" fillId="0" borderId="23" xfId="6" applyNumberFormat="1" applyFont="1" applyFill="1" applyBorder="1" applyAlignment="1">
      <alignment horizontal="center"/>
    </xf>
    <xf numFmtId="0" fontId="11" fillId="0" borderId="21" xfId="3" applyFont="1" applyFill="1" applyBorder="1" applyAlignment="1">
      <alignment horizontal="center"/>
    </xf>
    <xf numFmtId="0" fontId="11" fillId="0" borderId="0" xfId="3" applyFont="1" applyBorder="1" applyAlignment="1">
      <alignment horizontal="center"/>
    </xf>
    <xf numFmtId="166" fontId="11" fillId="0" borderId="24" xfId="7" applyNumberFormat="1" applyFont="1" applyFill="1" applyBorder="1"/>
    <xf numFmtId="0" fontId="11" fillId="0" borderId="31" xfId="3" applyFont="1" applyFill="1" applyBorder="1" applyAlignment="1">
      <alignment horizontal="center"/>
    </xf>
    <xf numFmtId="0" fontId="11" fillId="0" borderId="17" xfId="3" applyFont="1" applyFill="1" applyBorder="1" applyAlignment="1">
      <alignment horizontal="center"/>
    </xf>
    <xf numFmtId="0" fontId="11" fillId="0" borderId="28" xfId="3" applyFont="1" applyFill="1" applyBorder="1" applyAlignment="1">
      <alignment horizontal="center"/>
    </xf>
    <xf numFmtId="0" fontId="11" fillId="0" borderId="5" xfId="3" applyFont="1" applyFill="1" applyBorder="1"/>
    <xf numFmtId="174" fontId="11" fillId="0" borderId="18" xfId="7" applyNumberFormat="1" applyFont="1" applyFill="1" applyBorder="1"/>
    <xf numFmtId="0" fontId="11" fillId="0" borderId="7" xfId="3" applyFont="1" applyBorder="1"/>
    <xf numFmtId="0" fontId="11" fillId="0" borderId="8" xfId="3" applyFont="1" applyBorder="1"/>
    <xf numFmtId="0" fontId="11" fillId="0" borderId="21" xfId="3" applyFont="1" applyBorder="1" applyAlignment="1">
      <alignment horizontal="center"/>
    </xf>
    <xf numFmtId="175" fontId="11" fillId="0" borderId="21" xfId="6" applyNumberFormat="1" applyFont="1" applyBorder="1" applyAlignment="1">
      <alignment horizontal="center"/>
    </xf>
    <xf numFmtId="170" fontId="11" fillId="0" borderId="21" xfId="6" applyFont="1" applyBorder="1"/>
    <xf numFmtId="170" fontId="12" fillId="0" borderId="21" xfId="6" applyFont="1" applyFill="1" applyBorder="1"/>
    <xf numFmtId="10" fontId="11" fillId="0" borderId="12" xfId="3" applyNumberFormat="1" applyFont="1" applyFill="1" applyBorder="1" applyAlignment="1">
      <alignment horizontal="right"/>
    </xf>
    <xf numFmtId="170" fontId="11" fillId="0" borderId="14" xfId="6" applyFont="1" applyFill="1" applyBorder="1"/>
    <xf numFmtId="0" fontId="1" fillId="0" borderId="0" xfId="11" applyFont="1"/>
    <xf numFmtId="0" fontId="20" fillId="0" borderId="9" xfId="11" applyFont="1" applyBorder="1" applyAlignment="1">
      <alignment horizontal="center"/>
    </xf>
    <xf numFmtId="0" fontId="1" fillId="0" borderId="9" xfId="11" applyFont="1" applyBorder="1"/>
    <xf numFmtId="43" fontId="1" fillId="0" borderId="9" xfId="12" applyFont="1" applyBorder="1"/>
    <xf numFmtId="43" fontId="1" fillId="0" borderId="0" xfId="11" applyNumberFormat="1" applyFont="1"/>
    <xf numFmtId="0" fontId="1" fillId="0" borderId="0" xfId="11" applyFont="1" applyFill="1" applyAlignment="1">
      <alignment horizontal="right"/>
    </xf>
    <xf numFmtId="0" fontId="1" fillId="0" borderId="0" xfId="11" applyFont="1" applyFill="1"/>
    <xf numFmtId="43" fontId="20" fillId="0" borderId="0" xfId="11" applyNumberFormat="1" applyFont="1" applyFill="1" applyBorder="1"/>
    <xf numFmtId="43" fontId="20" fillId="0" borderId="0" xfId="11" applyNumberFormat="1" applyFont="1" applyFill="1"/>
    <xf numFmtId="178" fontId="20" fillId="0" borderId="0" xfId="11" applyNumberFormat="1" applyFont="1" applyFill="1"/>
    <xf numFmtId="0" fontId="0" fillId="0" borderId="0" xfId="0" applyFill="1"/>
    <xf numFmtId="43" fontId="1" fillId="0" borderId="0" xfId="11" applyNumberFormat="1" applyFont="1" applyFill="1" applyBorder="1"/>
    <xf numFmtId="0" fontId="1" fillId="0" borderId="0" xfId="11" applyFont="1" applyFill="1" applyBorder="1"/>
    <xf numFmtId="0" fontId="1" fillId="0" borderId="0" xfId="11" applyFont="1" applyFill="1" applyBorder="1" applyAlignment="1">
      <alignment horizontal="right"/>
    </xf>
    <xf numFmtId="0" fontId="27" fillId="0" borderId="35" xfId="0" applyFont="1" applyBorder="1" applyAlignment="1">
      <alignment horizontal="center"/>
    </xf>
    <xf numFmtId="15" fontId="12" fillId="0" borderId="35" xfId="0" applyNumberFormat="1" applyFont="1" applyBorder="1" applyAlignment="1">
      <alignment horizontal="center"/>
    </xf>
    <xf numFmtId="0" fontId="28" fillId="5" borderId="33" xfId="0" applyFont="1" applyFill="1" applyBorder="1" applyAlignment="1">
      <alignment horizontal="center" vertical="top" wrapText="1"/>
    </xf>
    <xf numFmtId="0" fontId="30" fillId="5" borderId="36" xfId="0" applyFont="1" applyFill="1" applyBorder="1" applyAlignment="1">
      <alignment horizontal="center" vertical="top" wrapText="1"/>
    </xf>
    <xf numFmtId="179" fontId="31" fillId="0" borderId="33" xfId="0" applyNumberFormat="1" applyFont="1" applyBorder="1" applyAlignment="1">
      <alignment horizontal="center" vertical="top" shrinkToFit="1"/>
    </xf>
    <xf numFmtId="0" fontId="28" fillId="0" borderId="33" xfId="0" applyFont="1" applyBorder="1" applyAlignment="1">
      <alignment horizontal="left" vertical="top" wrapText="1"/>
    </xf>
    <xf numFmtId="0" fontId="0" fillId="0" borderId="33" xfId="0" applyBorder="1" applyAlignment="1">
      <alignment horizontal="left" wrapText="1"/>
    </xf>
    <xf numFmtId="0" fontId="0" fillId="0" borderId="37" xfId="0" applyBorder="1" applyAlignment="1">
      <alignment horizontal="left" wrapText="1"/>
    </xf>
    <xf numFmtId="0" fontId="0" fillId="0" borderId="9" xfId="0" applyBorder="1" applyAlignment="1">
      <alignment horizontal="left" vertical="top"/>
    </xf>
    <xf numFmtId="2" fontId="20" fillId="0" borderId="10" xfId="0" applyNumberFormat="1" applyFont="1" applyBorder="1"/>
    <xf numFmtId="180" fontId="32" fillId="0" borderId="33" xfId="0" applyNumberFormat="1" applyFont="1" applyBorder="1" applyAlignment="1">
      <alignment horizontal="center" vertical="top" shrinkToFit="1"/>
    </xf>
    <xf numFmtId="0" fontId="33" fillId="0" borderId="33" xfId="0" applyFont="1" applyBorder="1" applyAlignment="1">
      <alignment horizontal="left" vertical="top" wrapText="1"/>
    </xf>
    <xf numFmtId="0" fontId="33" fillId="0" borderId="33" xfId="0" applyFont="1" applyBorder="1" applyAlignment="1">
      <alignment horizontal="center" vertical="top" wrapText="1"/>
    </xf>
    <xf numFmtId="2" fontId="32" fillId="0" borderId="37" xfId="0" applyNumberFormat="1" applyFont="1" applyBorder="1" applyAlignment="1">
      <alignment horizontal="center" vertical="top" shrinkToFit="1"/>
    </xf>
    <xf numFmtId="2" fontId="34" fillId="0" borderId="9" xfId="0" applyNumberFormat="1" applyFont="1" applyBorder="1" applyAlignment="1">
      <alignment horizontal="center" vertical="top"/>
    </xf>
    <xf numFmtId="2" fontId="0" fillId="0" borderId="9" xfId="0" applyNumberFormat="1" applyBorder="1" applyAlignment="1">
      <alignment horizontal="right" vertical="top"/>
    </xf>
    <xf numFmtId="179" fontId="31" fillId="0" borderId="33" xfId="0" applyNumberFormat="1" applyFont="1" applyBorder="1" applyAlignment="1">
      <alignment horizontal="left" vertical="top" indent="2" shrinkToFit="1"/>
    </xf>
    <xf numFmtId="2" fontId="0" fillId="0" borderId="9" xfId="0" applyNumberFormat="1" applyBorder="1" applyAlignment="1">
      <alignment horizontal="center" vertical="top"/>
    </xf>
    <xf numFmtId="2" fontId="20" fillId="0" borderId="12" xfId="0" applyNumberFormat="1" applyFont="1" applyBorder="1"/>
    <xf numFmtId="180" fontId="32" fillId="0" borderId="33" xfId="0" applyNumberFormat="1" applyFont="1" applyBorder="1" applyAlignment="1">
      <alignment horizontal="left" vertical="top" indent="1" shrinkToFit="1"/>
    </xf>
    <xf numFmtId="4" fontId="32" fillId="0" borderId="37" xfId="0" applyNumberFormat="1" applyFont="1" applyBorder="1" applyAlignment="1">
      <alignment horizontal="center" vertical="top" shrinkToFit="1"/>
    </xf>
    <xf numFmtId="180" fontId="31" fillId="0" borderId="33" xfId="0" applyNumberFormat="1" applyFont="1" applyBorder="1" applyAlignment="1">
      <alignment horizontal="left" vertical="top" indent="1" shrinkToFit="1"/>
    </xf>
    <xf numFmtId="0" fontId="33" fillId="0" borderId="33" xfId="0" applyFont="1" applyBorder="1" applyAlignment="1">
      <alignment horizontal="right" vertical="top" wrapText="1" indent="1"/>
    </xf>
    <xf numFmtId="0" fontId="33" fillId="6" borderId="33" xfId="0" applyFont="1" applyFill="1" applyBorder="1" applyAlignment="1">
      <alignment horizontal="right" vertical="top" wrapText="1" indent="1"/>
    </xf>
    <xf numFmtId="0" fontId="33" fillId="6" borderId="33" xfId="0" applyFont="1" applyFill="1" applyBorder="1" applyAlignment="1">
      <alignment horizontal="center" vertical="top" wrapText="1"/>
    </xf>
    <xf numFmtId="4" fontId="32" fillId="6" borderId="37" xfId="0" applyNumberFormat="1" applyFont="1" applyFill="1" applyBorder="1" applyAlignment="1">
      <alignment horizontal="center" vertical="top" shrinkToFit="1"/>
    </xf>
    <xf numFmtId="0" fontId="33" fillId="0" borderId="33" xfId="0" applyFont="1" applyBorder="1" applyAlignment="1">
      <alignment horizontal="right" vertical="top" wrapText="1"/>
    </xf>
    <xf numFmtId="0" fontId="33" fillId="6" borderId="33" xfId="0" applyFont="1" applyFill="1" applyBorder="1" applyAlignment="1">
      <alignment horizontal="right" vertical="top" wrapText="1"/>
    </xf>
    <xf numFmtId="2" fontId="32" fillId="6" borderId="37" xfId="0" applyNumberFormat="1" applyFont="1" applyFill="1" applyBorder="1" applyAlignment="1">
      <alignment horizontal="center" vertical="top" shrinkToFit="1"/>
    </xf>
    <xf numFmtId="2" fontId="31" fillId="0" borderId="33" xfId="0" applyNumberFormat="1" applyFont="1" applyBorder="1" applyAlignment="1">
      <alignment horizontal="center" vertical="top" shrinkToFit="1"/>
    </xf>
    <xf numFmtId="180" fontId="32" fillId="0" borderId="33" xfId="0" applyNumberFormat="1" applyFont="1" applyBorder="1" applyAlignment="1">
      <alignment horizontal="left" vertical="top" indent="2" shrinkToFit="1"/>
    </xf>
    <xf numFmtId="180" fontId="32" fillId="6" borderId="33" xfId="0" applyNumberFormat="1" applyFont="1" applyFill="1" applyBorder="1" applyAlignment="1">
      <alignment horizontal="left" vertical="top" indent="2" shrinkToFit="1"/>
    </xf>
    <xf numFmtId="0" fontId="12" fillId="0" borderId="23" xfId="3" applyFont="1" applyFill="1" applyBorder="1"/>
    <xf numFmtId="49" fontId="11" fillId="0" borderId="38" xfId="3" applyNumberFormat="1" applyFont="1" applyFill="1" applyBorder="1" applyAlignment="1">
      <alignment horizontal="center"/>
    </xf>
    <xf numFmtId="170" fontId="11" fillId="0" borderId="3" xfId="6" applyFont="1" applyFill="1" applyBorder="1"/>
    <xf numFmtId="0" fontId="11" fillId="0" borderId="10" xfId="3" applyFont="1" applyFill="1" applyBorder="1"/>
    <xf numFmtId="0" fontId="11" fillId="0" borderId="2" xfId="3" applyFont="1" applyFill="1" applyBorder="1" applyAlignment="1">
      <alignment horizontal="center"/>
    </xf>
    <xf numFmtId="173" fontId="11" fillId="0" borderId="10" xfId="6" applyNumberFormat="1" applyFont="1" applyFill="1" applyBorder="1" applyAlignment="1">
      <alignment horizontal="center"/>
    </xf>
    <xf numFmtId="173" fontId="11" fillId="0" borderId="11" xfId="6" applyNumberFormat="1" applyFont="1" applyFill="1" applyBorder="1" applyAlignment="1">
      <alignment horizontal="center"/>
    </xf>
    <xf numFmtId="0" fontId="11" fillId="0" borderId="12" xfId="3" applyFont="1" applyFill="1" applyBorder="1" applyAlignment="1">
      <alignment horizontal="center"/>
    </xf>
    <xf numFmtId="170" fontId="11" fillId="0" borderId="11" xfId="6" applyFont="1" applyFill="1" applyBorder="1"/>
    <xf numFmtId="15" fontId="2" fillId="0" borderId="0" xfId="5" applyNumberFormat="1"/>
    <xf numFmtId="0" fontId="2" fillId="0" borderId="0" xfId="5" applyAlignment="1">
      <alignment horizontal="right"/>
    </xf>
    <xf numFmtId="49" fontId="0" fillId="0" borderId="0" xfId="0" applyNumberFormat="1"/>
    <xf numFmtId="0" fontId="12" fillId="0" borderId="0" xfId="3" applyFont="1" applyBorder="1"/>
    <xf numFmtId="49" fontId="11" fillId="3" borderId="16" xfId="3" applyNumberFormat="1" applyFont="1" applyFill="1" applyBorder="1" applyAlignment="1">
      <alignment horizontal="center"/>
    </xf>
    <xf numFmtId="0" fontId="11" fillId="3" borderId="16" xfId="3" applyFont="1" applyFill="1" applyBorder="1"/>
    <xf numFmtId="0" fontId="11" fillId="3" borderId="16" xfId="3" applyFont="1" applyFill="1" applyBorder="1" applyAlignment="1">
      <alignment horizontal="center"/>
    </xf>
    <xf numFmtId="170" fontId="11" fillId="3" borderId="16" xfId="6" applyFont="1" applyFill="1" applyBorder="1"/>
    <xf numFmtId="0" fontId="11" fillId="3" borderId="0" xfId="3" applyFont="1" applyFill="1"/>
    <xf numFmtId="0" fontId="16" fillId="0" borderId="0" xfId="0" applyFont="1" applyAlignment="1">
      <alignment horizontal="center" vertical="top"/>
    </xf>
    <xf numFmtId="0" fontId="33" fillId="6" borderId="33" xfId="0" applyFont="1" applyFill="1" applyBorder="1" applyAlignment="1">
      <alignment horizontal="left" vertical="top" wrapText="1"/>
    </xf>
    <xf numFmtId="2" fontId="0" fillId="6" borderId="9" xfId="0" applyNumberFormat="1" applyFill="1" applyBorder="1" applyAlignment="1">
      <alignment horizontal="right" vertical="top"/>
    </xf>
    <xf numFmtId="0" fontId="28" fillId="6" borderId="33" xfId="0" applyFont="1" applyFill="1" applyBorder="1" applyAlignment="1">
      <alignment horizontal="left" vertical="top" wrapText="1"/>
    </xf>
    <xf numFmtId="0" fontId="0" fillId="6" borderId="33" xfId="0" applyFill="1" applyBorder="1" applyAlignment="1">
      <alignment horizontal="left" wrapText="1"/>
    </xf>
    <xf numFmtId="0" fontId="0" fillId="6" borderId="37" xfId="0" applyFill="1" applyBorder="1" applyAlignment="1">
      <alignment horizontal="left" wrapText="1"/>
    </xf>
    <xf numFmtId="2" fontId="0" fillId="6" borderId="9" xfId="0" applyNumberFormat="1" applyFill="1" applyBorder="1" applyAlignment="1">
      <alignment horizontal="center" vertical="top"/>
    </xf>
    <xf numFmtId="2" fontId="20" fillId="6" borderId="12" xfId="0" applyNumberFormat="1" applyFont="1" applyFill="1" applyBorder="1"/>
    <xf numFmtId="2" fontId="20" fillId="6" borderId="9" xfId="0" applyNumberFormat="1" applyFont="1" applyFill="1" applyBorder="1"/>
    <xf numFmtId="0" fontId="11" fillId="0" borderId="1" xfId="5" applyFont="1" applyBorder="1"/>
    <xf numFmtId="0" fontId="11" fillId="0" borderId="2" xfId="5" applyFont="1" applyBorder="1"/>
    <xf numFmtId="0" fontId="11" fillId="0" borderId="3" xfId="5" applyFont="1" applyBorder="1"/>
    <xf numFmtId="2" fontId="0" fillId="0" borderId="9" xfId="0" applyNumberFormat="1" applyBorder="1" applyAlignment="1">
      <alignment vertical="center"/>
    </xf>
    <xf numFmtId="180" fontId="32" fillId="0" borderId="36" xfId="0" applyNumberFormat="1" applyFont="1" applyBorder="1" applyAlignment="1">
      <alignment horizontal="left" vertical="top" indent="1" shrinkToFit="1"/>
    </xf>
    <xf numFmtId="0" fontId="33" fillId="6" borderId="36" xfId="0" applyFont="1" applyFill="1" applyBorder="1" applyAlignment="1">
      <alignment horizontal="left" vertical="center" wrapText="1"/>
    </xf>
    <xf numFmtId="0" fontId="33" fillId="6" borderId="36" xfId="0" applyFont="1" applyFill="1" applyBorder="1" applyAlignment="1">
      <alignment horizontal="center" vertical="top" wrapText="1"/>
    </xf>
    <xf numFmtId="2" fontId="32" fillId="6" borderId="39" xfId="0" applyNumberFormat="1" applyFont="1" applyFill="1" applyBorder="1" applyAlignment="1">
      <alignment horizontal="center" vertical="top" shrinkToFit="1"/>
    </xf>
    <xf numFmtId="2" fontId="34" fillId="0" borderId="10" xfId="0" applyNumberFormat="1" applyFont="1" applyBorder="1" applyAlignment="1">
      <alignment horizontal="center" vertical="top"/>
    </xf>
    <xf numFmtId="2" fontId="0" fillId="6" borderId="10" xfId="0" applyNumberFormat="1" applyFill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35" fillId="0" borderId="0" xfId="0" applyFont="1" applyBorder="1" applyAlignment="1">
      <alignment horizontal="left" vertical="top"/>
    </xf>
    <xf numFmtId="2" fontId="20" fillId="0" borderId="13" xfId="0" applyNumberFormat="1" applyFont="1" applyBorder="1"/>
    <xf numFmtId="0" fontId="36" fillId="0" borderId="0" xfId="0" applyFont="1" applyBorder="1" applyAlignment="1">
      <alignment horizontal="left" vertical="top"/>
    </xf>
    <xf numFmtId="10" fontId="36" fillId="0" borderId="0" xfId="0" applyNumberFormat="1" applyFont="1" applyBorder="1" applyAlignment="1">
      <alignment horizontal="center" vertical="top"/>
    </xf>
    <xf numFmtId="2" fontId="36" fillId="0" borderId="13" xfId="0" applyNumberFormat="1" applyFont="1" applyBorder="1" applyAlignment="1">
      <alignment vertical="top"/>
    </xf>
    <xf numFmtId="0" fontId="35" fillId="0" borderId="0" xfId="0" applyFont="1" applyBorder="1" applyAlignment="1">
      <alignment horizontal="center" vertical="top"/>
    </xf>
    <xf numFmtId="2" fontId="35" fillId="0" borderId="13" xfId="0" applyNumberFormat="1" applyFont="1" applyBorder="1" applyAlignment="1">
      <alignment vertical="top"/>
    </xf>
    <xf numFmtId="0" fontId="0" fillId="0" borderId="4" xfId="0" applyBorder="1" applyAlignment="1">
      <alignment horizontal="left" vertical="top"/>
    </xf>
    <xf numFmtId="0" fontId="35" fillId="0" borderId="15" xfId="0" applyFont="1" applyBorder="1" applyAlignment="1">
      <alignment horizontal="left" vertical="top"/>
    </xf>
    <xf numFmtId="2" fontId="35" fillId="0" borderId="5" xfId="0" applyNumberFormat="1" applyFont="1" applyBorder="1" applyAlignment="1">
      <alignment vertical="top"/>
    </xf>
    <xf numFmtId="0" fontId="26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37" fillId="0" borderId="0" xfId="3" applyFont="1" applyBorder="1" applyAlignment="1">
      <alignment horizontal="center"/>
    </xf>
    <xf numFmtId="0" fontId="4" fillId="2" borderId="1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7" xfId="3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/>
    </xf>
    <xf numFmtId="0" fontId="4" fillId="2" borderId="5" xfId="3" applyFont="1" applyFill="1" applyBorder="1" applyAlignment="1">
      <alignment horizontal="center"/>
    </xf>
    <xf numFmtId="0" fontId="18" fillId="0" borderId="0" xfId="3" applyFont="1" applyFill="1" applyBorder="1" applyAlignment="1">
      <alignment horizontal="left"/>
    </xf>
    <xf numFmtId="49" fontId="14" fillId="0" borderId="0" xfId="5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11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8" fillId="0" borderId="13" xfId="3" applyFont="1" applyFill="1" applyBorder="1" applyAlignment="1">
      <alignment horizontal="center" vertical="center"/>
    </xf>
    <xf numFmtId="170" fontId="12" fillId="0" borderId="0" xfId="6" applyFont="1" applyBorder="1" applyAlignment="1">
      <alignment horizontal="center"/>
    </xf>
    <xf numFmtId="0" fontId="11" fillId="2" borderId="10" xfId="3" applyFont="1" applyFill="1" applyBorder="1" applyAlignment="1">
      <alignment horizontal="center" vertical="center"/>
    </xf>
    <xf numFmtId="0" fontId="11" fillId="2" borderId="14" xfId="3" applyFont="1" applyFill="1" applyBorder="1" applyAlignment="1">
      <alignment horizontal="center" vertical="center"/>
    </xf>
    <xf numFmtId="0" fontId="38" fillId="0" borderId="11" xfId="3" applyFont="1" applyBorder="1" applyAlignment="1">
      <alignment horizontal="center" vertical="center" wrapText="1"/>
    </xf>
    <xf numFmtId="0" fontId="38" fillId="0" borderId="0" xfId="3" applyFont="1" applyBorder="1" applyAlignment="1">
      <alignment horizontal="center" vertical="center" wrapText="1"/>
    </xf>
    <xf numFmtId="0" fontId="38" fillId="0" borderId="13" xfId="3" applyFont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left" vertical="top"/>
    </xf>
    <xf numFmtId="0" fontId="23" fillId="4" borderId="15" xfId="0" applyFont="1" applyFill="1" applyBorder="1" applyAlignment="1">
      <alignment horizontal="left" vertical="top"/>
    </xf>
    <xf numFmtId="0" fontId="23" fillId="4" borderId="5" xfId="0" applyFont="1" applyFill="1" applyBorder="1" applyAlignment="1">
      <alignment horizontal="left" vertical="top"/>
    </xf>
    <xf numFmtId="0" fontId="21" fillId="0" borderId="0" xfId="0" applyFont="1" applyAlignment="1">
      <alignment horizontal="center"/>
    </xf>
    <xf numFmtId="2" fontId="11" fillId="0" borderId="0" xfId="3" applyNumberFormat="1" applyFont="1" applyFill="1" applyBorder="1" applyAlignment="1">
      <alignment horizontal="right"/>
    </xf>
    <xf numFmtId="0" fontId="11" fillId="0" borderId="0" xfId="3" applyFont="1" applyFill="1" applyBorder="1" applyAlignment="1">
      <alignment horizontal="left"/>
    </xf>
    <xf numFmtId="4" fontId="11" fillId="0" borderId="0" xfId="3" applyNumberFormat="1" applyFont="1" applyFill="1" applyBorder="1" applyAlignment="1">
      <alignment horizontal="right"/>
    </xf>
    <xf numFmtId="0" fontId="11" fillId="0" borderId="0" xfId="3" applyFont="1" applyFill="1" applyBorder="1" applyAlignment="1">
      <alignment horizontal="right"/>
    </xf>
  </cellXfs>
  <cellStyles count="13">
    <cellStyle name="Cancel" xfId="3" xr:uid="{00000000-0005-0000-0000-000000000000}"/>
    <cellStyle name="Millares" xfId="1" builtinId="3"/>
    <cellStyle name="Millares [0] 2" xfId="8" xr:uid="{00000000-0005-0000-0000-000002000000}"/>
    <cellStyle name="Millares 10" xfId="10" xr:uid="{4FDDB7E7-A3DB-49D8-90F6-37D21DE09421}"/>
    <cellStyle name="Millares 2" xfId="6" xr:uid="{00000000-0005-0000-0000-000003000000}"/>
    <cellStyle name="Millares 3" xfId="12" xr:uid="{13122839-EAA6-4491-A2AC-64AD34164865}"/>
    <cellStyle name="Normal" xfId="0" builtinId="0"/>
    <cellStyle name="Normal 10" xfId="9" xr:uid="{00000000-0005-0000-0000-000005000000}"/>
    <cellStyle name="Normal 2" xfId="11" xr:uid="{D966889B-CF4A-42F5-882B-BF97AAF30B77}"/>
    <cellStyle name="Normal 3" xfId="5" xr:uid="{00000000-0005-0000-0000-000006000000}"/>
    <cellStyle name="Porcentaje" xfId="2" builtinId="5"/>
    <cellStyle name="Porcentaje 2 2" xfId="7" xr:uid="{00000000-0005-0000-0000-000008000000}"/>
    <cellStyle name="Porcentaje 3" xfId="4" xr:uid="{00000000-0005-0000-0000-000009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2</xdr:col>
      <xdr:colOff>679637</xdr:colOff>
      <xdr:row>3</xdr:row>
      <xdr:rowOff>30360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9852BD-2C28-4453-A6DC-75D07F6DD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0"/>
          <a:ext cx="1355912" cy="601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1</xdr:row>
      <xdr:rowOff>33619</xdr:rowOff>
    </xdr:from>
    <xdr:to>
      <xdr:col>2</xdr:col>
      <xdr:colOff>560294</xdr:colOff>
      <xdr:row>4</xdr:row>
      <xdr:rowOff>164832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A9B816-2C8B-4991-B0E3-7B17EB6E2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29" y="190501"/>
          <a:ext cx="1355912" cy="6018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1384487</xdr:colOff>
      <xdr:row>3</xdr:row>
      <xdr:rowOff>30360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2A804E-E763-446F-86FB-05C0D28C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1355912" cy="6018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</xdr:colOff>
      <xdr:row>0</xdr:row>
      <xdr:rowOff>74295</xdr:rowOff>
    </xdr:from>
    <xdr:to>
      <xdr:col>1</xdr:col>
      <xdr:colOff>1318260</xdr:colOff>
      <xdr:row>2</xdr:row>
      <xdr:rowOff>153517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CC0C17-6A56-4191-A3C6-261CF3E51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74295"/>
          <a:ext cx="1202055" cy="5135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561975</xdr:colOff>
      <xdr:row>2</xdr:row>
      <xdr:rowOff>25854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2DFDEC-EE4C-4ED0-867A-B045894A9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1066800" cy="47352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67235</xdr:colOff>
      <xdr:row>0</xdr:row>
      <xdr:rowOff>11205</xdr:rowOff>
    </xdr:from>
    <xdr:to>
      <xdr:col>1</xdr:col>
      <xdr:colOff>819959</xdr:colOff>
      <xdr:row>3</xdr:row>
      <xdr:rowOff>56029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5C08B5-940F-432D-AE1C-D44B6D9FA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35" y="11205"/>
          <a:ext cx="1514724" cy="6723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0</xdr:rowOff>
    </xdr:from>
    <xdr:to>
      <xdr:col>1</xdr:col>
      <xdr:colOff>1171575</xdr:colOff>
      <xdr:row>2</xdr:row>
      <xdr:rowOff>54332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F2A624-56E7-4519-BA87-BE77E4BB3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0"/>
          <a:ext cx="1238250" cy="54963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44823</xdr:colOff>
      <xdr:row>0</xdr:row>
      <xdr:rowOff>89647</xdr:rowOff>
    </xdr:from>
    <xdr:to>
      <xdr:col>2</xdr:col>
      <xdr:colOff>528606</xdr:colOff>
      <xdr:row>4</xdr:row>
      <xdr:rowOff>67235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5C35A7-6EB4-4030-A1FD-1B3A0919F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23" y="89647"/>
          <a:ext cx="1514724" cy="6723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UENTE%20JUAN%20PABLO%20II%20-%20actualizar\JPII\Cap.%2018%20Metrados\MOORE%20DEFINITIVO\METRADOS\200\02.01.00-02.06.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CAR\Izcuchaca%20-%20Huancavelica\Aguaytia\supervision\Valorizacion\Contratista\Val%2001%20Mayo%202003\Valorizacion\Javier%20JIMENEZ\VALORIZACIONES\BITU\REST-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AppData\Local\Microsoft\Windows\INetCache\Content.Outlook\K502DVOM\PRESUPUESTO%20Y%20AP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 APU PARTIDAS"/>
      <sheetName val="INSUMOS"/>
      <sheetName val="Dimensionamiento equipos"/>
      <sheetName val="Dimensionamiento de MO"/>
      <sheetName val="COMPONENTES"/>
      <sheetName val="GANTT"/>
      <sheetName val="RESUMEN FINANCIERO"/>
    </sheetNames>
    <sheetDataSet>
      <sheetData sheetId="0">
        <row r="8">
          <cell r="F8">
            <v>2800</v>
          </cell>
        </row>
        <row r="9">
          <cell r="F9">
            <v>49999.999989999997</v>
          </cell>
        </row>
        <row r="10">
          <cell r="F10">
            <v>56000</v>
          </cell>
        </row>
        <row r="12">
          <cell r="F12">
            <v>150000</v>
          </cell>
        </row>
        <row r="13">
          <cell r="F13">
            <v>3.54</v>
          </cell>
        </row>
        <row r="16">
          <cell r="F16">
            <v>16.605681422222219</v>
          </cell>
        </row>
        <row r="17">
          <cell r="F17">
            <v>7.1919932800000002</v>
          </cell>
        </row>
        <row r="18">
          <cell r="F18">
            <v>23.479590163934429</v>
          </cell>
        </row>
        <row r="19">
          <cell r="F19">
            <v>40.384785000000001</v>
          </cell>
        </row>
        <row r="20">
          <cell r="F20">
            <v>85.973074400000002</v>
          </cell>
        </row>
        <row r="22">
          <cell r="F22">
            <v>16.605681422222219</v>
          </cell>
        </row>
        <row r="23">
          <cell r="F23">
            <v>7.1919932800000002</v>
          </cell>
        </row>
        <row r="24">
          <cell r="F24">
            <v>26.189805714285711</v>
          </cell>
        </row>
        <row r="25">
          <cell r="F25">
            <v>16.345804000000001</v>
          </cell>
        </row>
        <row r="26">
          <cell r="F26">
            <v>52.674126260869564</v>
          </cell>
        </row>
        <row r="27">
          <cell r="F27">
            <v>56.725000000000009</v>
          </cell>
        </row>
        <row r="28">
          <cell r="F28">
            <v>59.97</v>
          </cell>
        </row>
        <row r="30">
          <cell r="F30">
            <v>7.9911036444444443</v>
          </cell>
        </row>
        <row r="31">
          <cell r="F31">
            <v>30.516360000000006</v>
          </cell>
        </row>
        <row r="32">
          <cell r="F32">
            <v>35.275000000000006</v>
          </cell>
        </row>
        <row r="34">
          <cell r="F34">
            <v>16.605681422222219</v>
          </cell>
        </row>
        <row r="35">
          <cell r="F35">
            <v>7.1919932800000002</v>
          </cell>
        </row>
        <row r="36">
          <cell r="F36">
            <v>26.189805714285711</v>
          </cell>
        </row>
        <row r="37">
          <cell r="F37">
            <v>21.325596800000003</v>
          </cell>
        </row>
        <row r="38">
          <cell r="F38">
            <v>68.465942000000013</v>
          </cell>
        </row>
        <row r="40">
          <cell r="F40">
            <v>8.7059984000000021</v>
          </cell>
        </row>
        <row r="41">
          <cell r="F41">
            <v>2.4722000000000004</v>
          </cell>
        </row>
        <row r="42">
          <cell r="F42">
            <v>20.894396160000003</v>
          </cell>
        </row>
        <row r="43">
          <cell r="F43">
            <v>4.9444000000000008</v>
          </cell>
        </row>
        <row r="44">
          <cell r="F44">
            <v>8.7059984000000021</v>
          </cell>
        </row>
        <row r="45">
          <cell r="F45">
            <v>2.9666400000000004</v>
          </cell>
        </row>
        <row r="48">
          <cell r="F48">
            <v>10.962892342857142</v>
          </cell>
        </row>
        <row r="49">
          <cell r="F49">
            <v>16.173571200000005</v>
          </cell>
        </row>
        <row r="51">
          <cell r="F51">
            <v>120000</v>
          </cell>
        </row>
        <row r="52">
          <cell r="F52">
            <v>150000</v>
          </cell>
        </row>
      </sheetData>
      <sheetData sheetId="1"/>
      <sheetData sheetId="2"/>
      <sheetData sheetId="3">
        <row r="16">
          <cell r="M16">
            <v>15</v>
          </cell>
        </row>
      </sheetData>
      <sheetData sheetId="4">
        <row r="9">
          <cell r="L9">
            <v>19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46D0-4467-467E-9433-B4176BD1C9C2}">
  <dimension ref="B3:G60"/>
  <sheetViews>
    <sheetView showGridLines="0" tabSelected="1" zoomScaleNormal="100" zoomScaleSheetLayoutView="90" workbookViewId="0">
      <pane xSplit="3" ySplit="8" topLeftCell="D50" activePane="bottomRight" state="frozen"/>
      <selection pane="topRight" activeCell="D1" sqref="D1"/>
      <selection pane="bottomLeft" activeCell="A9" sqref="A9"/>
      <selection pane="bottomRight" activeCell="H13" sqref="H13"/>
    </sheetView>
  </sheetViews>
  <sheetFormatPr baseColWidth="10" defaultRowHeight="14.4" x14ac:dyDescent="0.3"/>
  <cols>
    <col min="1" max="1" width="2.5546875" customWidth="1"/>
    <col min="2" max="2" width="10.5546875" bestFit="1" customWidth="1"/>
    <col min="3" max="3" width="56.5546875" customWidth="1"/>
    <col min="4" max="4" width="10.5546875" style="279" customWidth="1"/>
    <col min="5" max="6" width="11.44140625" style="247"/>
  </cols>
  <sheetData>
    <row r="3" spans="2:7" ht="15" customHeight="1" x14ac:dyDescent="0.35">
      <c r="B3" s="430" t="s">
        <v>356</v>
      </c>
      <c r="C3" s="430"/>
      <c r="D3" s="430"/>
      <c r="E3" s="430"/>
      <c r="F3" s="430"/>
      <c r="G3" s="430"/>
    </row>
    <row r="4" spans="2:7" ht="14.4" customHeight="1" x14ac:dyDescent="0.3">
      <c r="B4" s="431" t="s">
        <v>357</v>
      </c>
      <c r="C4" s="431"/>
      <c r="D4" s="431"/>
      <c r="E4" s="431"/>
      <c r="F4" s="431"/>
      <c r="G4" s="431"/>
    </row>
    <row r="5" spans="2:7" ht="20.399999999999999" customHeight="1" x14ac:dyDescent="0.3">
      <c r="B5" s="431"/>
      <c r="C5" s="431"/>
      <c r="D5" s="431"/>
      <c r="E5" s="431"/>
      <c r="F5" s="431"/>
      <c r="G5" s="431"/>
    </row>
    <row r="6" spans="2:7" ht="17.399999999999999" customHeight="1" thickBot="1" x14ac:dyDescent="0.35">
      <c r="F6" s="347" t="s">
        <v>358</v>
      </c>
      <c r="G6" s="348">
        <v>44707</v>
      </c>
    </row>
    <row r="7" spans="2:7" x14ac:dyDescent="0.3">
      <c r="B7" s="349" t="s">
        <v>359</v>
      </c>
      <c r="C7" s="349" t="s">
        <v>360</v>
      </c>
      <c r="D7" s="349" t="s">
        <v>361</v>
      </c>
      <c r="E7" s="349" t="s">
        <v>362</v>
      </c>
      <c r="F7" s="350" t="s">
        <v>363</v>
      </c>
      <c r="G7" s="350" t="s">
        <v>82</v>
      </c>
    </row>
    <row r="8" spans="2:7" ht="18" customHeight="1" x14ac:dyDescent="0.3">
      <c r="B8" s="351">
        <v>1.01</v>
      </c>
      <c r="C8" s="352" t="s">
        <v>364</v>
      </c>
      <c r="D8" s="353"/>
      <c r="E8" s="354"/>
      <c r="F8" s="355"/>
      <c r="G8" s="356">
        <f>SUM(G9:G11)</f>
        <v>108799.99999</v>
      </c>
    </row>
    <row r="9" spans="2:7" ht="17.100000000000001" customHeight="1" x14ac:dyDescent="0.3">
      <c r="B9" s="357">
        <v>36892</v>
      </c>
      <c r="C9" s="358" t="s">
        <v>365</v>
      </c>
      <c r="D9" s="359" t="s">
        <v>366</v>
      </c>
      <c r="E9" s="360">
        <v>1</v>
      </c>
      <c r="F9" s="361">
        <f>[4]PRESUPUESTO!$F$8</f>
        <v>2800</v>
      </c>
      <c r="G9" s="362">
        <f>F9*E9</f>
        <v>2800</v>
      </c>
    </row>
    <row r="10" spans="2:7" ht="17.100000000000001" customHeight="1" x14ac:dyDescent="0.3">
      <c r="B10" s="357">
        <v>37257</v>
      </c>
      <c r="C10" s="358" t="s">
        <v>367</v>
      </c>
      <c r="D10" s="359" t="s">
        <v>368</v>
      </c>
      <c r="E10" s="360">
        <v>1</v>
      </c>
      <c r="F10" s="361">
        <f>[4]PRESUPUESTO!$F$9</f>
        <v>49999.999989999997</v>
      </c>
      <c r="G10" s="362">
        <f t="shared" ref="G10:G11" si="0">F10*E10</f>
        <v>49999.999989999997</v>
      </c>
    </row>
    <row r="11" spans="2:7" ht="17.100000000000001" customHeight="1" x14ac:dyDescent="0.3">
      <c r="B11" s="357">
        <v>37622</v>
      </c>
      <c r="C11" s="358" t="s">
        <v>369</v>
      </c>
      <c r="D11" s="359" t="s">
        <v>370</v>
      </c>
      <c r="E11" s="360">
        <v>1</v>
      </c>
      <c r="F11" s="361">
        <f>[4]PRESUPUESTO!$F$10</f>
        <v>56000</v>
      </c>
      <c r="G11" s="362">
        <f t="shared" si="0"/>
        <v>56000</v>
      </c>
    </row>
    <row r="12" spans="2:7" ht="17.100000000000001" customHeight="1" x14ac:dyDescent="0.3">
      <c r="B12" s="363">
        <v>1.02</v>
      </c>
      <c r="C12" s="352" t="s">
        <v>371</v>
      </c>
      <c r="D12" s="353"/>
      <c r="E12" s="354"/>
      <c r="F12" s="364"/>
      <c r="G12" s="365">
        <f>SUM(G13:G14)</f>
        <v>174144.7824</v>
      </c>
    </row>
    <row r="13" spans="2:7" ht="17.100000000000001" customHeight="1" x14ac:dyDescent="0.3">
      <c r="B13" s="366">
        <v>36893</v>
      </c>
      <c r="C13" s="358" t="s">
        <v>372</v>
      </c>
      <c r="D13" s="359" t="s">
        <v>368</v>
      </c>
      <c r="E13" s="360">
        <v>1</v>
      </c>
      <c r="F13" s="361">
        <f>[4]PRESUPUESTO!$F$12</f>
        <v>150000</v>
      </c>
      <c r="G13" s="362">
        <f t="shared" ref="G13:G14" si="1">F13*E13</f>
        <v>150000</v>
      </c>
    </row>
    <row r="14" spans="2:7" ht="17.100000000000001" customHeight="1" x14ac:dyDescent="0.3">
      <c r="B14" s="366">
        <v>37258</v>
      </c>
      <c r="C14" s="358" t="s">
        <v>373</v>
      </c>
      <c r="D14" s="359" t="s">
        <v>374</v>
      </c>
      <c r="E14" s="367">
        <v>6820.56</v>
      </c>
      <c r="F14" s="361">
        <f>[4]PRESUPUESTO!$F$13</f>
        <v>3.54</v>
      </c>
      <c r="G14" s="362">
        <f t="shared" si="1"/>
        <v>24144.7824</v>
      </c>
    </row>
    <row r="15" spans="2:7" ht="17.100000000000001" customHeight="1" x14ac:dyDescent="0.3">
      <c r="B15" s="363">
        <v>1.03</v>
      </c>
      <c r="C15" s="352" t="s">
        <v>375</v>
      </c>
      <c r="D15" s="353"/>
      <c r="E15" s="354"/>
      <c r="F15" s="364"/>
      <c r="G15" s="365">
        <f>G16+G22+G30+G34+G40</f>
        <v>1445927.924087869</v>
      </c>
    </row>
    <row r="16" spans="2:7" ht="17.100000000000001" customHeight="1" x14ac:dyDescent="0.3">
      <c r="B16" s="368">
        <v>36894</v>
      </c>
      <c r="C16" s="352" t="s">
        <v>376</v>
      </c>
      <c r="D16" s="353"/>
      <c r="E16" s="354"/>
      <c r="F16" s="364"/>
      <c r="G16" s="365">
        <f>SUM(G17:G21)</f>
        <v>332180.3953167923</v>
      </c>
    </row>
    <row r="17" spans="2:7" ht="17.100000000000001" customHeight="1" x14ac:dyDescent="0.3">
      <c r="B17" s="369" t="s">
        <v>377</v>
      </c>
      <c r="C17" s="358" t="s">
        <v>378</v>
      </c>
      <c r="D17" s="359" t="s">
        <v>374</v>
      </c>
      <c r="E17" s="367">
        <v>3665.08</v>
      </c>
      <c r="F17" s="361">
        <f>[4]PRESUPUESTO!$F$16</f>
        <v>16.605681422222219</v>
      </c>
      <c r="G17" s="362">
        <f t="shared" ref="G17:G21" si="2">F17*E17</f>
        <v>60861.150866958211</v>
      </c>
    </row>
    <row r="18" spans="2:7" ht="17.100000000000001" customHeight="1" x14ac:dyDescent="0.3">
      <c r="B18" s="369" t="s">
        <v>379</v>
      </c>
      <c r="C18" s="358" t="s">
        <v>380</v>
      </c>
      <c r="D18" s="359" t="s">
        <v>381</v>
      </c>
      <c r="E18" s="367">
        <v>2391.2800000000002</v>
      </c>
      <c r="F18" s="361">
        <f>[4]PRESUPUESTO!$F$17</f>
        <v>7.1919932800000002</v>
      </c>
      <c r="G18" s="362">
        <f t="shared" si="2"/>
        <v>17198.0696905984</v>
      </c>
    </row>
    <row r="19" spans="2:7" ht="17.100000000000001" customHeight="1" x14ac:dyDescent="0.3">
      <c r="B19" s="370" t="s">
        <v>382</v>
      </c>
      <c r="C19" s="358" t="s">
        <v>441</v>
      </c>
      <c r="D19" s="371" t="s">
        <v>374</v>
      </c>
      <c r="E19" s="372">
        <v>3003.65</v>
      </c>
      <c r="F19" s="361">
        <f>[4]PRESUPUESTO!$F$18</f>
        <v>23.479590163934429</v>
      </c>
      <c r="G19" s="362">
        <f t="shared" si="2"/>
        <v>70524.470995901647</v>
      </c>
    </row>
    <row r="20" spans="2:7" ht="17.100000000000001" customHeight="1" x14ac:dyDescent="0.3">
      <c r="B20" s="369" t="s">
        <v>384</v>
      </c>
      <c r="C20" s="358" t="s">
        <v>442</v>
      </c>
      <c r="D20" s="359" t="s">
        <v>381</v>
      </c>
      <c r="E20" s="372">
        <v>3660.35</v>
      </c>
      <c r="F20" s="361">
        <f>[4]PRESUPUESTO!$F$19</f>
        <v>40.384785000000001</v>
      </c>
      <c r="G20" s="362">
        <f t="shared" si="2"/>
        <v>147822.44777475001</v>
      </c>
    </row>
    <row r="21" spans="2:7" ht="17.100000000000001" customHeight="1" x14ac:dyDescent="0.3">
      <c r="B21" s="369" t="s">
        <v>385</v>
      </c>
      <c r="C21" s="358" t="s">
        <v>386</v>
      </c>
      <c r="D21" s="359" t="s">
        <v>381</v>
      </c>
      <c r="E21" s="360">
        <v>416.11</v>
      </c>
      <c r="F21" s="361">
        <f>[4]PRESUPUESTO!$F$20</f>
        <v>85.973074400000002</v>
      </c>
      <c r="G21" s="362">
        <f t="shared" si="2"/>
        <v>35774.255988584002</v>
      </c>
    </row>
    <row r="22" spans="2:7" ht="17.100000000000001" customHeight="1" x14ac:dyDescent="0.3">
      <c r="B22" s="368">
        <v>37259</v>
      </c>
      <c r="C22" s="352" t="s">
        <v>387</v>
      </c>
      <c r="D22" s="353"/>
      <c r="E22" s="354"/>
      <c r="F22" s="364"/>
      <c r="G22" s="365">
        <f>SUM(G23:G29)</f>
        <v>404862.426619587</v>
      </c>
    </row>
    <row r="23" spans="2:7" ht="17.100000000000001" customHeight="1" x14ac:dyDescent="0.3">
      <c r="B23" s="373" t="s">
        <v>388</v>
      </c>
      <c r="C23" s="358" t="s">
        <v>378</v>
      </c>
      <c r="D23" s="359" t="s">
        <v>374</v>
      </c>
      <c r="E23" s="367">
        <v>1513.32</v>
      </c>
      <c r="F23" s="361">
        <f>[4]PRESUPUESTO!$F$22</f>
        <v>16.605681422222219</v>
      </c>
      <c r="G23" s="362">
        <f t="shared" ref="G23:G29" si="3">F23*E23</f>
        <v>25129.709809877328</v>
      </c>
    </row>
    <row r="24" spans="2:7" ht="17.100000000000001" customHeight="1" x14ac:dyDescent="0.3">
      <c r="B24" s="373" t="s">
        <v>389</v>
      </c>
      <c r="C24" s="358" t="s">
        <v>380</v>
      </c>
      <c r="D24" s="359" t="s">
        <v>381</v>
      </c>
      <c r="E24" s="367">
        <v>2247.34</v>
      </c>
      <c r="F24" s="361">
        <f>[4]PRESUPUESTO!$F$23</f>
        <v>7.1919932800000002</v>
      </c>
      <c r="G24" s="362">
        <f t="shared" si="3"/>
        <v>16162.854177875201</v>
      </c>
    </row>
    <row r="25" spans="2:7" ht="17.100000000000001" customHeight="1" x14ac:dyDescent="0.3">
      <c r="B25" s="374" t="s">
        <v>390</v>
      </c>
      <c r="C25" s="358" t="s">
        <v>383</v>
      </c>
      <c r="D25" s="371" t="s">
        <v>374</v>
      </c>
      <c r="E25" s="372">
        <v>3178.85</v>
      </c>
      <c r="F25" s="361">
        <f>[4]PRESUPUESTO!$F$24</f>
        <v>26.189805714285711</v>
      </c>
      <c r="G25" s="362">
        <f t="shared" si="3"/>
        <v>83253.463894857137</v>
      </c>
    </row>
    <row r="26" spans="2:7" ht="17.100000000000001" customHeight="1" x14ac:dyDescent="0.3">
      <c r="B26" s="373" t="s">
        <v>391</v>
      </c>
      <c r="C26" s="358" t="s">
        <v>392</v>
      </c>
      <c r="D26" s="359" t="s">
        <v>374</v>
      </c>
      <c r="E26" s="367">
        <v>4762.34</v>
      </c>
      <c r="F26" s="361">
        <f>[4]PRESUPUESTO!$F$25</f>
        <v>16.345804000000001</v>
      </c>
      <c r="G26" s="362">
        <f t="shared" si="3"/>
        <v>77844.276221360007</v>
      </c>
    </row>
    <row r="27" spans="2:7" ht="17.100000000000001" customHeight="1" x14ac:dyDescent="0.3">
      <c r="B27" s="373" t="s">
        <v>393</v>
      </c>
      <c r="C27" s="358" t="s">
        <v>394</v>
      </c>
      <c r="D27" s="359" t="s">
        <v>381</v>
      </c>
      <c r="E27" s="360">
        <v>884.8</v>
      </c>
      <c r="F27" s="361">
        <f>[4]PRESUPUESTO!$F$26</f>
        <v>52.674126260869564</v>
      </c>
      <c r="G27" s="362">
        <f t="shared" si="3"/>
        <v>46606.06691561739</v>
      </c>
    </row>
    <row r="28" spans="2:7" ht="17.100000000000001" customHeight="1" x14ac:dyDescent="0.3">
      <c r="B28" s="373" t="s">
        <v>395</v>
      </c>
      <c r="C28" s="358" t="s">
        <v>396</v>
      </c>
      <c r="D28" s="359" t="s">
        <v>381</v>
      </c>
      <c r="E28" s="367">
        <v>1331.96</v>
      </c>
      <c r="F28" s="361">
        <f>[4]PRESUPUESTO!$F$27</f>
        <v>56.725000000000009</v>
      </c>
      <c r="G28" s="362">
        <f t="shared" si="3"/>
        <v>75555.431000000011</v>
      </c>
    </row>
    <row r="29" spans="2:7" ht="17.100000000000001" customHeight="1" x14ac:dyDescent="0.3">
      <c r="B29" s="373" t="s">
        <v>397</v>
      </c>
      <c r="C29" s="358" t="s">
        <v>398</v>
      </c>
      <c r="D29" s="359" t="s">
        <v>381</v>
      </c>
      <c r="E29" s="367">
        <v>1339.18</v>
      </c>
      <c r="F29" s="361">
        <f>[4]PRESUPUESTO!$F$28</f>
        <v>59.97</v>
      </c>
      <c r="G29" s="362">
        <f t="shared" si="3"/>
        <v>80310.624599999996</v>
      </c>
    </row>
    <row r="30" spans="2:7" ht="17.100000000000001" customHeight="1" x14ac:dyDescent="0.3">
      <c r="B30" s="368">
        <v>37624</v>
      </c>
      <c r="C30" s="352" t="s">
        <v>399</v>
      </c>
      <c r="D30" s="353"/>
      <c r="E30" s="354"/>
      <c r="F30" s="364"/>
      <c r="G30" s="365">
        <f>SUM(G31:G33)</f>
        <v>44269.478186666674</v>
      </c>
    </row>
    <row r="31" spans="2:7" ht="17.100000000000001" customHeight="1" x14ac:dyDescent="0.3">
      <c r="B31" s="369" t="s">
        <v>400</v>
      </c>
      <c r="C31" s="358" t="s">
        <v>380</v>
      </c>
      <c r="D31" s="359" t="s">
        <v>381</v>
      </c>
      <c r="E31" s="360">
        <v>600</v>
      </c>
      <c r="F31" s="361">
        <f>[4]PRESUPUESTO!$F$30</f>
        <v>7.9911036444444443</v>
      </c>
      <c r="G31" s="362">
        <f t="shared" ref="G31:G33" si="4">F31*E31</f>
        <v>4794.6621866666665</v>
      </c>
    </row>
    <row r="32" spans="2:7" ht="17.100000000000001" customHeight="1" x14ac:dyDescent="0.3">
      <c r="B32" s="370" t="s">
        <v>401</v>
      </c>
      <c r="C32" s="358" t="s">
        <v>402</v>
      </c>
      <c r="D32" s="371" t="s">
        <v>374</v>
      </c>
      <c r="E32" s="375">
        <v>600</v>
      </c>
      <c r="F32" s="361">
        <f>[4]PRESUPUESTO!$F$31</f>
        <v>30.516360000000006</v>
      </c>
      <c r="G32" s="362">
        <f t="shared" si="4"/>
        <v>18309.816000000003</v>
      </c>
    </row>
    <row r="33" spans="2:7" ht="17.100000000000001" customHeight="1" x14ac:dyDescent="0.3">
      <c r="B33" s="369" t="s">
        <v>403</v>
      </c>
      <c r="C33" s="358" t="s">
        <v>404</v>
      </c>
      <c r="D33" s="359" t="s">
        <v>381</v>
      </c>
      <c r="E33" s="360">
        <v>600</v>
      </c>
      <c r="F33" s="361">
        <f>[4]PRESUPUESTO!$F$32</f>
        <v>35.275000000000006</v>
      </c>
      <c r="G33" s="362">
        <f t="shared" si="4"/>
        <v>21165.000000000004</v>
      </c>
    </row>
    <row r="34" spans="2:7" ht="17.100000000000001" customHeight="1" x14ac:dyDescent="0.3">
      <c r="B34" s="376">
        <v>1.04</v>
      </c>
      <c r="C34" s="352" t="s">
        <v>405</v>
      </c>
      <c r="D34" s="353"/>
      <c r="E34" s="354"/>
      <c r="F34" s="364"/>
      <c r="G34" s="365">
        <f>SUM(G35:G39)</f>
        <v>63995.017497821536</v>
      </c>
    </row>
    <row r="35" spans="2:7" ht="17.100000000000001" customHeight="1" x14ac:dyDescent="0.3">
      <c r="B35" s="377">
        <v>36895</v>
      </c>
      <c r="C35" s="358" t="s">
        <v>378</v>
      </c>
      <c r="D35" s="359" t="s">
        <v>374</v>
      </c>
      <c r="E35" s="360">
        <v>991.27</v>
      </c>
      <c r="F35" s="361">
        <f>[4]PRESUPUESTO!$F$34</f>
        <v>16.605681422222219</v>
      </c>
      <c r="G35" s="362">
        <f t="shared" ref="G35:G39" si="5">F35*E35</f>
        <v>16460.713823406219</v>
      </c>
    </row>
    <row r="36" spans="2:7" ht="17.100000000000001" customHeight="1" x14ac:dyDescent="0.3">
      <c r="B36" s="377">
        <v>37260</v>
      </c>
      <c r="C36" s="358" t="s">
        <v>380</v>
      </c>
      <c r="D36" s="359" t="s">
        <v>381</v>
      </c>
      <c r="E36" s="360">
        <v>322.42</v>
      </c>
      <c r="F36" s="361">
        <f>[4]PRESUPUESTO!$F$35</f>
        <v>7.1919932800000002</v>
      </c>
      <c r="G36" s="362">
        <f t="shared" si="5"/>
        <v>2318.8424733376</v>
      </c>
    </row>
    <row r="37" spans="2:7" ht="17.100000000000001" customHeight="1" x14ac:dyDescent="0.3">
      <c r="B37" s="378">
        <v>37625</v>
      </c>
      <c r="C37" s="358" t="s">
        <v>383</v>
      </c>
      <c r="D37" s="371" t="s">
        <v>374</v>
      </c>
      <c r="E37" s="375">
        <v>864.97</v>
      </c>
      <c r="F37" s="361">
        <f>[4]PRESUPUESTO!$F$36</f>
        <v>26.189805714285711</v>
      </c>
      <c r="G37" s="362">
        <f t="shared" si="5"/>
        <v>22653.396248685713</v>
      </c>
    </row>
    <row r="38" spans="2:7" ht="17.100000000000001" customHeight="1" x14ac:dyDescent="0.3">
      <c r="B38" s="377">
        <v>37990</v>
      </c>
      <c r="C38" s="398" t="s">
        <v>406</v>
      </c>
      <c r="D38" s="371" t="s">
        <v>381</v>
      </c>
      <c r="E38" s="375">
        <v>164.24</v>
      </c>
      <c r="F38" s="361">
        <f>[4]PRESUPUESTO!$F$37</f>
        <v>21.325596800000003</v>
      </c>
      <c r="G38" s="399">
        <f t="shared" si="5"/>
        <v>3502.5160184320007</v>
      </c>
    </row>
    <row r="39" spans="2:7" ht="17.100000000000001" customHeight="1" x14ac:dyDescent="0.3">
      <c r="B39" s="377">
        <v>38356</v>
      </c>
      <c r="C39" s="398" t="s">
        <v>407</v>
      </c>
      <c r="D39" s="371" t="s">
        <v>381</v>
      </c>
      <c r="E39" s="375">
        <v>278.38</v>
      </c>
      <c r="F39" s="361">
        <f>[4]PRESUPUESTO!$F$38</f>
        <v>68.465942000000013</v>
      </c>
      <c r="G39" s="399">
        <f t="shared" si="5"/>
        <v>19059.548933960003</v>
      </c>
    </row>
    <row r="40" spans="2:7" ht="17.100000000000001" customHeight="1" x14ac:dyDescent="0.3">
      <c r="B40" s="363">
        <v>1.05</v>
      </c>
      <c r="C40" s="400" t="s">
        <v>408</v>
      </c>
      <c r="D40" s="401"/>
      <c r="E40" s="402"/>
      <c r="F40" s="403"/>
      <c r="G40" s="404">
        <f>SUM(G41:G46)</f>
        <v>600620.60646700172</v>
      </c>
    </row>
    <row r="41" spans="2:7" ht="17.100000000000001" customHeight="1" x14ac:dyDescent="0.3">
      <c r="B41" s="377">
        <v>36896</v>
      </c>
      <c r="C41" s="398" t="s">
        <v>409</v>
      </c>
      <c r="D41" s="371" t="s">
        <v>410</v>
      </c>
      <c r="E41" s="372">
        <v>3832.26</v>
      </c>
      <c r="F41" s="361">
        <f>[4]PRESUPUESTO!$F$40</f>
        <v>8.7059984000000021</v>
      </c>
      <c r="G41" s="399">
        <f t="shared" ref="G41:G46" si="6">F41*E41</f>
        <v>33363.649428384007</v>
      </c>
    </row>
    <row r="42" spans="2:7" ht="17.100000000000001" customHeight="1" x14ac:dyDescent="0.3">
      <c r="B42" s="377">
        <v>37261</v>
      </c>
      <c r="C42" s="398" t="s">
        <v>443</v>
      </c>
      <c r="D42" s="371" t="s">
        <v>410</v>
      </c>
      <c r="E42" s="372">
        <v>41153.22</v>
      </c>
      <c r="F42" s="361">
        <f>[4]PRESUPUESTO!$F$41</f>
        <v>2.4722000000000004</v>
      </c>
      <c r="G42" s="399">
        <f t="shared" si="6"/>
        <v>101738.99048400002</v>
      </c>
    </row>
    <row r="43" spans="2:7" ht="17.100000000000001" customHeight="1" x14ac:dyDescent="0.3">
      <c r="B43" s="377">
        <v>37626</v>
      </c>
      <c r="C43" s="398" t="s">
        <v>411</v>
      </c>
      <c r="D43" s="371" t="s">
        <v>410</v>
      </c>
      <c r="E43" s="372">
        <v>2878.61</v>
      </c>
      <c r="F43" s="361">
        <f>[4]PRESUPUESTO!$F$42</f>
        <v>20.894396160000003</v>
      </c>
      <c r="G43" s="399">
        <f t="shared" si="6"/>
        <v>60146.817730137613</v>
      </c>
    </row>
    <row r="44" spans="2:7" ht="17.100000000000001" customHeight="1" x14ac:dyDescent="0.3">
      <c r="B44" s="377">
        <v>37991</v>
      </c>
      <c r="C44" s="398" t="s">
        <v>412</v>
      </c>
      <c r="D44" s="371" t="s">
        <v>410</v>
      </c>
      <c r="E44" s="372">
        <v>53450.47</v>
      </c>
      <c r="F44" s="361">
        <f>[4]PRESUPUESTO!$F$43</f>
        <v>4.9444000000000008</v>
      </c>
      <c r="G44" s="399">
        <f t="shared" si="6"/>
        <v>264280.50386800006</v>
      </c>
    </row>
    <row r="45" spans="2:7" ht="17.100000000000001" customHeight="1" x14ac:dyDescent="0.3">
      <c r="B45" s="377">
        <v>38357</v>
      </c>
      <c r="C45" s="398" t="s">
        <v>413</v>
      </c>
      <c r="D45" s="371" t="s">
        <v>410</v>
      </c>
      <c r="E45" s="372">
        <v>6661.7</v>
      </c>
      <c r="F45" s="361">
        <f>[4]PRESUPUESTO!$F$44</f>
        <v>8.7059984000000021</v>
      </c>
      <c r="G45" s="399">
        <f>F45*E45</f>
        <v>57996.749541280013</v>
      </c>
    </row>
    <row r="46" spans="2:7" ht="17.100000000000001" customHeight="1" x14ac:dyDescent="0.3">
      <c r="B46" s="377">
        <v>38722</v>
      </c>
      <c r="C46" s="398" t="s">
        <v>414</v>
      </c>
      <c r="D46" s="371" t="s">
        <v>410</v>
      </c>
      <c r="E46" s="372">
        <v>28009.43</v>
      </c>
      <c r="F46" s="361">
        <f>[4]PRESUPUESTO!$F$45</f>
        <v>2.9666400000000004</v>
      </c>
      <c r="G46" s="399">
        <f t="shared" si="6"/>
        <v>83093.895415200008</v>
      </c>
    </row>
    <row r="47" spans="2:7" ht="17.100000000000001" customHeight="1" x14ac:dyDescent="0.3">
      <c r="B47" s="363">
        <v>1.06</v>
      </c>
      <c r="C47" s="400" t="s">
        <v>415</v>
      </c>
      <c r="D47" s="401"/>
      <c r="E47" s="402"/>
      <c r="F47" s="403"/>
      <c r="G47" s="405">
        <f>G48+G51</f>
        <v>369163.98178250971</v>
      </c>
    </row>
    <row r="48" spans="2:7" ht="17.100000000000001" customHeight="1" x14ac:dyDescent="0.3">
      <c r="B48" s="368">
        <v>36897</v>
      </c>
      <c r="C48" s="400" t="s">
        <v>416</v>
      </c>
      <c r="D48" s="401"/>
      <c r="E48" s="402"/>
      <c r="F48" s="403"/>
      <c r="G48" s="404">
        <f>SUM(G49:G50)</f>
        <v>99163.981782509713</v>
      </c>
    </row>
    <row r="49" spans="2:7" ht="17.100000000000001" customHeight="1" x14ac:dyDescent="0.3">
      <c r="B49" s="369" t="s">
        <v>417</v>
      </c>
      <c r="C49" s="398" t="s">
        <v>418</v>
      </c>
      <c r="D49" s="371" t="s">
        <v>381</v>
      </c>
      <c r="E49" s="372">
        <v>7570.12</v>
      </c>
      <c r="F49" s="361">
        <f>[4]PRESUPUESTO!$F$48</f>
        <v>10.962892342857142</v>
      </c>
      <c r="G49" s="399">
        <f t="shared" ref="G49:G50" si="7">F49*E49</f>
        <v>82990.410582509707</v>
      </c>
    </row>
    <row r="50" spans="2:7" ht="17.100000000000001" customHeight="1" x14ac:dyDescent="0.3">
      <c r="B50" s="369" t="s">
        <v>419</v>
      </c>
      <c r="C50" s="398" t="s">
        <v>420</v>
      </c>
      <c r="D50" s="371" t="s">
        <v>374</v>
      </c>
      <c r="E50" s="372">
        <v>1000</v>
      </c>
      <c r="F50" s="361">
        <f>[4]PRESUPUESTO!$F$49</f>
        <v>16.173571200000005</v>
      </c>
      <c r="G50" s="399">
        <f t="shared" si="7"/>
        <v>16173.571200000006</v>
      </c>
    </row>
    <row r="51" spans="2:7" ht="17.100000000000001" customHeight="1" x14ac:dyDescent="0.3">
      <c r="B51" s="363">
        <v>1.07</v>
      </c>
      <c r="C51" s="400" t="s">
        <v>421</v>
      </c>
      <c r="D51" s="401"/>
      <c r="E51" s="402"/>
      <c r="F51" s="403"/>
      <c r="G51" s="404">
        <f>SUM(G52:G53)</f>
        <v>270000</v>
      </c>
    </row>
    <row r="52" spans="2:7" ht="17.100000000000001" customHeight="1" x14ac:dyDescent="0.3">
      <c r="B52" s="366">
        <v>36898</v>
      </c>
      <c r="C52" s="398" t="s">
        <v>422</v>
      </c>
      <c r="D52" s="371" t="s">
        <v>368</v>
      </c>
      <c r="E52" s="375">
        <v>1</v>
      </c>
      <c r="F52" s="361">
        <f>[4]PRESUPUESTO!$F$51</f>
        <v>120000</v>
      </c>
      <c r="G52" s="399">
        <f t="shared" ref="G52:G53" si="8">F52*E52</f>
        <v>120000</v>
      </c>
    </row>
    <row r="53" spans="2:7" ht="25.5" customHeight="1" x14ac:dyDescent="0.3">
      <c r="B53" s="410">
        <v>37263</v>
      </c>
      <c r="C53" s="411" t="s">
        <v>423</v>
      </c>
      <c r="D53" s="412" t="s">
        <v>368</v>
      </c>
      <c r="E53" s="413">
        <v>1</v>
      </c>
      <c r="F53" s="414">
        <f>[4]PRESUPUESTO!$F$52</f>
        <v>150000</v>
      </c>
      <c r="G53" s="415">
        <f t="shared" si="8"/>
        <v>150000</v>
      </c>
    </row>
    <row r="54" spans="2:7" ht="6.75" customHeight="1" x14ac:dyDescent="0.3">
      <c r="B54" s="416"/>
      <c r="C54" s="417"/>
      <c r="D54" s="417"/>
      <c r="E54" s="417"/>
      <c r="F54" s="417"/>
      <c r="G54" s="418"/>
    </row>
    <row r="55" spans="2:7" x14ac:dyDescent="0.3">
      <c r="B55" s="419"/>
      <c r="C55" s="420" t="s">
        <v>1</v>
      </c>
      <c r="D55" s="420"/>
      <c r="E55" s="420"/>
      <c r="F55" s="420"/>
      <c r="G55" s="421">
        <f>G47+G15+G12+G8</f>
        <v>2098036.6882603788</v>
      </c>
    </row>
    <row r="56" spans="2:7" x14ac:dyDescent="0.3">
      <c r="B56" s="419"/>
      <c r="C56" s="422" t="s">
        <v>424</v>
      </c>
      <c r="D56" s="423">
        <f>'GASTOS GENERALES'!G26</f>
        <v>0.1</v>
      </c>
      <c r="E56" s="422"/>
      <c r="F56" s="422"/>
      <c r="G56" s="424">
        <f>'GASTOS GENERALES'!F26</f>
        <v>209803.6688260379</v>
      </c>
    </row>
    <row r="57" spans="2:7" x14ac:dyDescent="0.3">
      <c r="B57" s="419"/>
      <c r="C57" s="422" t="s">
        <v>425</v>
      </c>
      <c r="D57" s="423">
        <f>'GASTOS GENERALES'!G24</f>
        <v>0.20134157</v>
      </c>
      <c r="E57" s="422"/>
      <c r="F57" s="422"/>
      <c r="G57" s="424">
        <f>'GASTOS GENERALES'!F24</f>
        <v>422422</v>
      </c>
    </row>
    <row r="58" spans="2:7" x14ac:dyDescent="0.3">
      <c r="B58" s="419"/>
      <c r="C58" s="420" t="s">
        <v>82</v>
      </c>
      <c r="D58" s="425"/>
      <c r="E58" s="420"/>
      <c r="F58" s="420"/>
      <c r="G58" s="426">
        <f>SUM(G55:G57)</f>
        <v>2730262.3570864168</v>
      </c>
    </row>
    <row r="59" spans="2:7" x14ac:dyDescent="0.3">
      <c r="B59" s="419"/>
      <c r="C59" s="422" t="s">
        <v>426</v>
      </c>
      <c r="D59" s="423">
        <v>0.18</v>
      </c>
      <c r="E59" s="422"/>
      <c r="F59" s="422"/>
      <c r="G59" s="424">
        <f>G58*D59</f>
        <v>491447.224275555</v>
      </c>
    </row>
    <row r="60" spans="2:7" x14ac:dyDescent="0.3">
      <c r="B60" s="427"/>
      <c r="C60" s="428" t="s">
        <v>36</v>
      </c>
      <c r="D60" s="428"/>
      <c r="E60" s="428"/>
      <c r="F60" s="428"/>
      <c r="G60" s="429">
        <f>SUM(G58:G59)</f>
        <v>3221709.5813619718</v>
      </c>
    </row>
  </sheetData>
  <mergeCells count="2">
    <mergeCell ref="B3:G3"/>
    <mergeCell ref="B4:G5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43"/>
  <sheetViews>
    <sheetView showGridLines="0" topLeftCell="A2" zoomScale="90" zoomScaleNormal="90" zoomScaleSheetLayoutView="85" workbookViewId="0">
      <pane xSplit="5" ySplit="10" topLeftCell="F19" activePane="bottomRight" state="frozen"/>
      <selection activeCell="H13" sqref="H13"/>
      <selection pane="topRight" activeCell="H13" sqref="H13"/>
      <selection pane="bottomLeft" activeCell="H13" sqref="H13"/>
      <selection pane="bottomRight" activeCell="H13" sqref="H13"/>
    </sheetView>
  </sheetViews>
  <sheetFormatPr baseColWidth="10" defaultRowHeight="13.2" x14ac:dyDescent="0.25"/>
  <cols>
    <col min="1" max="1" width="6.5546875" style="30" customWidth="1"/>
    <col min="2" max="2" width="6.33203125" style="30" customWidth="1"/>
    <col min="3" max="3" width="14.33203125" style="30" customWidth="1"/>
    <col min="4" max="4" width="10.6640625" style="30" customWidth="1"/>
    <col min="5" max="5" width="24.109375" style="30" customWidth="1"/>
    <col min="6" max="6" width="25.5546875" style="30" customWidth="1"/>
    <col min="7" max="7" width="18.5546875" style="30" customWidth="1"/>
    <col min="8" max="8" width="9.44140625" style="30" customWidth="1"/>
    <col min="9" max="9" width="11.6640625" style="30" customWidth="1"/>
    <col min="10" max="10" width="19" style="30" customWidth="1"/>
    <col min="11" max="11" width="16.6640625" style="30" customWidth="1"/>
    <col min="12" max="12" width="16.6640625" style="30" bestFit="1" customWidth="1"/>
    <col min="13" max="13" width="17.44140625" style="30" bestFit="1" customWidth="1"/>
    <col min="14" max="256" width="11.44140625" style="30"/>
    <col min="257" max="258" width="5.6640625" style="30" customWidth="1"/>
    <col min="259" max="259" width="14.33203125" style="30" customWidth="1"/>
    <col min="260" max="260" width="10.6640625" style="30" customWidth="1"/>
    <col min="261" max="261" width="24.109375" style="30" customWidth="1"/>
    <col min="262" max="262" width="25.5546875" style="30" customWidth="1"/>
    <col min="263" max="263" width="18.5546875" style="30" customWidth="1"/>
    <col min="264" max="264" width="12.109375" style="30" bestFit="1" customWidth="1"/>
    <col min="265" max="265" width="17.44140625" style="30" customWidth="1"/>
    <col min="266" max="266" width="11.44140625" style="30"/>
    <col min="267" max="267" width="13.88671875" style="30" customWidth="1"/>
    <col min="268" max="512" width="11.44140625" style="30"/>
    <col min="513" max="514" width="5.6640625" style="30" customWidth="1"/>
    <col min="515" max="515" width="14.33203125" style="30" customWidth="1"/>
    <col min="516" max="516" width="10.6640625" style="30" customWidth="1"/>
    <col min="517" max="517" width="24.109375" style="30" customWidth="1"/>
    <col min="518" max="518" width="25.5546875" style="30" customWidth="1"/>
    <col min="519" max="519" width="18.5546875" style="30" customWidth="1"/>
    <col min="520" max="520" width="12.109375" style="30" bestFit="1" customWidth="1"/>
    <col min="521" max="521" width="17.44140625" style="30" customWidth="1"/>
    <col min="522" max="522" width="11.44140625" style="30"/>
    <col min="523" max="523" width="13.88671875" style="30" customWidth="1"/>
    <col min="524" max="768" width="11.44140625" style="30"/>
    <col min="769" max="770" width="5.6640625" style="30" customWidth="1"/>
    <col min="771" max="771" width="14.33203125" style="30" customWidth="1"/>
    <col min="772" max="772" width="10.6640625" style="30" customWidth="1"/>
    <col min="773" max="773" width="24.109375" style="30" customWidth="1"/>
    <col min="774" max="774" width="25.5546875" style="30" customWidth="1"/>
    <col min="775" max="775" width="18.5546875" style="30" customWidth="1"/>
    <col min="776" max="776" width="12.109375" style="30" bestFit="1" customWidth="1"/>
    <col min="777" max="777" width="17.44140625" style="30" customWidth="1"/>
    <col min="778" max="778" width="11.44140625" style="30"/>
    <col min="779" max="779" width="13.88671875" style="30" customWidth="1"/>
    <col min="780" max="1024" width="11.44140625" style="30"/>
    <col min="1025" max="1026" width="5.6640625" style="30" customWidth="1"/>
    <col min="1027" max="1027" width="14.33203125" style="30" customWidth="1"/>
    <col min="1028" max="1028" width="10.6640625" style="30" customWidth="1"/>
    <col min="1029" max="1029" width="24.109375" style="30" customWidth="1"/>
    <col min="1030" max="1030" width="25.5546875" style="30" customWidth="1"/>
    <col min="1031" max="1031" width="18.5546875" style="30" customWidth="1"/>
    <col min="1032" max="1032" width="12.109375" style="30" bestFit="1" customWidth="1"/>
    <col min="1033" max="1033" width="17.44140625" style="30" customWidth="1"/>
    <col min="1034" max="1034" width="11.44140625" style="30"/>
    <col min="1035" max="1035" width="13.88671875" style="30" customWidth="1"/>
    <col min="1036" max="1280" width="11.44140625" style="30"/>
    <col min="1281" max="1282" width="5.6640625" style="30" customWidth="1"/>
    <col min="1283" max="1283" width="14.33203125" style="30" customWidth="1"/>
    <col min="1284" max="1284" width="10.6640625" style="30" customWidth="1"/>
    <col min="1285" max="1285" width="24.109375" style="30" customWidth="1"/>
    <col min="1286" max="1286" width="25.5546875" style="30" customWidth="1"/>
    <col min="1287" max="1287" width="18.5546875" style="30" customWidth="1"/>
    <col min="1288" max="1288" width="12.109375" style="30" bestFit="1" customWidth="1"/>
    <col min="1289" max="1289" width="17.44140625" style="30" customWidth="1"/>
    <col min="1290" max="1290" width="11.44140625" style="30"/>
    <col min="1291" max="1291" width="13.88671875" style="30" customWidth="1"/>
    <col min="1292" max="1536" width="11.44140625" style="30"/>
    <col min="1537" max="1538" width="5.6640625" style="30" customWidth="1"/>
    <col min="1539" max="1539" width="14.33203125" style="30" customWidth="1"/>
    <col min="1540" max="1540" width="10.6640625" style="30" customWidth="1"/>
    <col min="1541" max="1541" width="24.109375" style="30" customWidth="1"/>
    <col min="1542" max="1542" width="25.5546875" style="30" customWidth="1"/>
    <col min="1543" max="1543" width="18.5546875" style="30" customWidth="1"/>
    <col min="1544" max="1544" width="12.109375" style="30" bestFit="1" customWidth="1"/>
    <col min="1545" max="1545" width="17.44140625" style="30" customWidth="1"/>
    <col min="1546" max="1546" width="11.44140625" style="30"/>
    <col min="1547" max="1547" width="13.88671875" style="30" customWidth="1"/>
    <col min="1548" max="1792" width="11.44140625" style="30"/>
    <col min="1793" max="1794" width="5.6640625" style="30" customWidth="1"/>
    <col min="1795" max="1795" width="14.33203125" style="30" customWidth="1"/>
    <col min="1796" max="1796" width="10.6640625" style="30" customWidth="1"/>
    <col min="1797" max="1797" width="24.109375" style="30" customWidth="1"/>
    <col min="1798" max="1798" width="25.5546875" style="30" customWidth="1"/>
    <col min="1799" max="1799" width="18.5546875" style="30" customWidth="1"/>
    <col min="1800" max="1800" width="12.109375" style="30" bestFit="1" customWidth="1"/>
    <col min="1801" max="1801" width="17.44140625" style="30" customWidth="1"/>
    <col min="1802" max="1802" width="11.44140625" style="30"/>
    <col min="1803" max="1803" width="13.88671875" style="30" customWidth="1"/>
    <col min="1804" max="2048" width="11.44140625" style="30"/>
    <col min="2049" max="2050" width="5.6640625" style="30" customWidth="1"/>
    <col min="2051" max="2051" width="14.33203125" style="30" customWidth="1"/>
    <col min="2052" max="2052" width="10.6640625" style="30" customWidth="1"/>
    <col min="2053" max="2053" width="24.109375" style="30" customWidth="1"/>
    <col min="2054" max="2054" width="25.5546875" style="30" customWidth="1"/>
    <col min="2055" max="2055" width="18.5546875" style="30" customWidth="1"/>
    <col min="2056" max="2056" width="12.109375" style="30" bestFit="1" customWidth="1"/>
    <col min="2057" max="2057" width="17.44140625" style="30" customWidth="1"/>
    <col min="2058" max="2058" width="11.44140625" style="30"/>
    <col min="2059" max="2059" width="13.88671875" style="30" customWidth="1"/>
    <col min="2060" max="2304" width="11.44140625" style="30"/>
    <col min="2305" max="2306" width="5.6640625" style="30" customWidth="1"/>
    <col min="2307" max="2307" width="14.33203125" style="30" customWidth="1"/>
    <col min="2308" max="2308" width="10.6640625" style="30" customWidth="1"/>
    <col min="2309" max="2309" width="24.109375" style="30" customWidth="1"/>
    <col min="2310" max="2310" width="25.5546875" style="30" customWidth="1"/>
    <col min="2311" max="2311" width="18.5546875" style="30" customWidth="1"/>
    <col min="2312" max="2312" width="12.109375" style="30" bestFit="1" customWidth="1"/>
    <col min="2313" max="2313" width="17.44140625" style="30" customWidth="1"/>
    <col min="2314" max="2314" width="11.44140625" style="30"/>
    <col min="2315" max="2315" width="13.88671875" style="30" customWidth="1"/>
    <col min="2316" max="2560" width="11.44140625" style="30"/>
    <col min="2561" max="2562" width="5.6640625" style="30" customWidth="1"/>
    <col min="2563" max="2563" width="14.33203125" style="30" customWidth="1"/>
    <col min="2564" max="2564" width="10.6640625" style="30" customWidth="1"/>
    <col min="2565" max="2565" width="24.109375" style="30" customWidth="1"/>
    <col min="2566" max="2566" width="25.5546875" style="30" customWidth="1"/>
    <col min="2567" max="2567" width="18.5546875" style="30" customWidth="1"/>
    <col min="2568" max="2568" width="12.109375" style="30" bestFit="1" customWidth="1"/>
    <col min="2569" max="2569" width="17.44140625" style="30" customWidth="1"/>
    <col min="2570" max="2570" width="11.44140625" style="30"/>
    <col min="2571" max="2571" width="13.88671875" style="30" customWidth="1"/>
    <col min="2572" max="2816" width="11.44140625" style="30"/>
    <col min="2817" max="2818" width="5.6640625" style="30" customWidth="1"/>
    <col min="2819" max="2819" width="14.33203125" style="30" customWidth="1"/>
    <col min="2820" max="2820" width="10.6640625" style="30" customWidth="1"/>
    <col min="2821" max="2821" width="24.109375" style="30" customWidth="1"/>
    <col min="2822" max="2822" width="25.5546875" style="30" customWidth="1"/>
    <col min="2823" max="2823" width="18.5546875" style="30" customWidth="1"/>
    <col min="2824" max="2824" width="12.109375" style="30" bestFit="1" customWidth="1"/>
    <col min="2825" max="2825" width="17.44140625" style="30" customWidth="1"/>
    <col min="2826" max="2826" width="11.44140625" style="30"/>
    <col min="2827" max="2827" width="13.88671875" style="30" customWidth="1"/>
    <col min="2828" max="3072" width="11.44140625" style="30"/>
    <col min="3073" max="3074" width="5.6640625" style="30" customWidth="1"/>
    <col min="3075" max="3075" width="14.33203125" style="30" customWidth="1"/>
    <col min="3076" max="3076" width="10.6640625" style="30" customWidth="1"/>
    <col min="3077" max="3077" width="24.109375" style="30" customWidth="1"/>
    <col min="3078" max="3078" width="25.5546875" style="30" customWidth="1"/>
    <col min="3079" max="3079" width="18.5546875" style="30" customWidth="1"/>
    <col min="3080" max="3080" width="12.109375" style="30" bestFit="1" customWidth="1"/>
    <col min="3081" max="3081" width="17.44140625" style="30" customWidth="1"/>
    <col min="3082" max="3082" width="11.44140625" style="30"/>
    <col min="3083" max="3083" width="13.88671875" style="30" customWidth="1"/>
    <col min="3084" max="3328" width="11.44140625" style="30"/>
    <col min="3329" max="3330" width="5.6640625" style="30" customWidth="1"/>
    <col min="3331" max="3331" width="14.33203125" style="30" customWidth="1"/>
    <col min="3332" max="3332" width="10.6640625" style="30" customWidth="1"/>
    <col min="3333" max="3333" width="24.109375" style="30" customWidth="1"/>
    <col min="3334" max="3334" width="25.5546875" style="30" customWidth="1"/>
    <col min="3335" max="3335" width="18.5546875" style="30" customWidth="1"/>
    <col min="3336" max="3336" width="12.109375" style="30" bestFit="1" customWidth="1"/>
    <col min="3337" max="3337" width="17.44140625" style="30" customWidth="1"/>
    <col min="3338" max="3338" width="11.44140625" style="30"/>
    <col min="3339" max="3339" width="13.88671875" style="30" customWidth="1"/>
    <col min="3340" max="3584" width="11.44140625" style="30"/>
    <col min="3585" max="3586" width="5.6640625" style="30" customWidth="1"/>
    <col min="3587" max="3587" width="14.33203125" style="30" customWidth="1"/>
    <col min="3588" max="3588" width="10.6640625" style="30" customWidth="1"/>
    <col min="3589" max="3589" width="24.109375" style="30" customWidth="1"/>
    <col min="3590" max="3590" width="25.5546875" style="30" customWidth="1"/>
    <col min="3591" max="3591" width="18.5546875" style="30" customWidth="1"/>
    <col min="3592" max="3592" width="12.109375" style="30" bestFit="1" customWidth="1"/>
    <col min="3593" max="3593" width="17.44140625" style="30" customWidth="1"/>
    <col min="3594" max="3594" width="11.44140625" style="30"/>
    <col min="3595" max="3595" width="13.88671875" style="30" customWidth="1"/>
    <col min="3596" max="3840" width="11.44140625" style="30"/>
    <col min="3841" max="3842" width="5.6640625" style="30" customWidth="1"/>
    <col min="3843" max="3843" width="14.33203125" style="30" customWidth="1"/>
    <col min="3844" max="3844" width="10.6640625" style="30" customWidth="1"/>
    <col min="3845" max="3845" width="24.109375" style="30" customWidth="1"/>
    <col min="3846" max="3846" width="25.5546875" style="30" customWidth="1"/>
    <col min="3847" max="3847" width="18.5546875" style="30" customWidth="1"/>
    <col min="3848" max="3848" width="12.109375" style="30" bestFit="1" customWidth="1"/>
    <col min="3849" max="3849" width="17.44140625" style="30" customWidth="1"/>
    <col min="3850" max="3850" width="11.44140625" style="30"/>
    <col min="3851" max="3851" width="13.88671875" style="30" customWidth="1"/>
    <col min="3852" max="4096" width="11.44140625" style="30"/>
    <col min="4097" max="4098" width="5.6640625" style="30" customWidth="1"/>
    <col min="4099" max="4099" width="14.33203125" style="30" customWidth="1"/>
    <col min="4100" max="4100" width="10.6640625" style="30" customWidth="1"/>
    <col min="4101" max="4101" width="24.109375" style="30" customWidth="1"/>
    <col min="4102" max="4102" width="25.5546875" style="30" customWidth="1"/>
    <col min="4103" max="4103" width="18.5546875" style="30" customWidth="1"/>
    <col min="4104" max="4104" width="12.109375" style="30" bestFit="1" customWidth="1"/>
    <col min="4105" max="4105" width="17.44140625" style="30" customWidth="1"/>
    <col min="4106" max="4106" width="11.44140625" style="30"/>
    <col min="4107" max="4107" width="13.88671875" style="30" customWidth="1"/>
    <col min="4108" max="4352" width="11.44140625" style="30"/>
    <col min="4353" max="4354" width="5.6640625" style="30" customWidth="1"/>
    <col min="4355" max="4355" width="14.33203125" style="30" customWidth="1"/>
    <col min="4356" max="4356" width="10.6640625" style="30" customWidth="1"/>
    <col min="4357" max="4357" width="24.109375" style="30" customWidth="1"/>
    <col min="4358" max="4358" width="25.5546875" style="30" customWidth="1"/>
    <col min="4359" max="4359" width="18.5546875" style="30" customWidth="1"/>
    <col min="4360" max="4360" width="12.109375" style="30" bestFit="1" customWidth="1"/>
    <col min="4361" max="4361" width="17.44140625" style="30" customWidth="1"/>
    <col min="4362" max="4362" width="11.44140625" style="30"/>
    <col min="4363" max="4363" width="13.88671875" style="30" customWidth="1"/>
    <col min="4364" max="4608" width="11.44140625" style="30"/>
    <col min="4609" max="4610" width="5.6640625" style="30" customWidth="1"/>
    <col min="4611" max="4611" width="14.33203125" style="30" customWidth="1"/>
    <col min="4612" max="4612" width="10.6640625" style="30" customWidth="1"/>
    <col min="4613" max="4613" width="24.109375" style="30" customWidth="1"/>
    <col min="4614" max="4614" width="25.5546875" style="30" customWidth="1"/>
    <col min="4615" max="4615" width="18.5546875" style="30" customWidth="1"/>
    <col min="4616" max="4616" width="12.109375" style="30" bestFit="1" customWidth="1"/>
    <col min="4617" max="4617" width="17.44140625" style="30" customWidth="1"/>
    <col min="4618" max="4618" width="11.44140625" style="30"/>
    <col min="4619" max="4619" width="13.88671875" style="30" customWidth="1"/>
    <col min="4620" max="4864" width="11.44140625" style="30"/>
    <col min="4865" max="4866" width="5.6640625" style="30" customWidth="1"/>
    <col min="4867" max="4867" width="14.33203125" style="30" customWidth="1"/>
    <col min="4868" max="4868" width="10.6640625" style="30" customWidth="1"/>
    <col min="4869" max="4869" width="24.109375" style="30" customWidth="1"/>
    <col min="4870" max="4870" width="25.5546875" style="30" customWidth="1"/>
    <col min="4871" max="4871" width="18.5546875" style="30" customWidth="1"/>
    <col min="4872" max="4872" width="12.109375" style="30" bestFit="1" customWidth="1"/>
    <col min="4873" max="4873" width="17.44140625" style="30" customWidth="1"/>
    <col min="4874" max="4874" width="11.44140625" style="30"/>
    <col min="4875" max="4875" width="13.88671875" style="30" customWidth="1"/>
    <col min="4876" max="5120" width="11.44140625" style="30"/>
    <col min="5121" max="5122" width="5.6640625" style="30" customWidth="1"/>
    <col min="5123" max="5123" width="14.33203125" style="30" customWidth="1"/>
    <col min="5124" max="5124" width="10.6640625" style="30" customWidth="1"/>
    <col min="5125" max="5125" width="24.109375" style="30" customWidth="1"/>
    <col min="5126" max="5126" width="25.5546875" style="30" customWidth="1"/>
    <col min="5127" max="5127" width="18.5546875" style="30" customWidth="1"/>
    <col min="5128" max="5128" width="12.109375" style="30" bestFit="1" customWidth="1"/>
    <col min="5129" max="5129" width="17.44140625" style="30" customWidth="1"/>
    <col min="5130" max="5130" width="11.44140625" style="30"/>
    <col min="5131" max="5131" width="13.88671875" style="30" customWidth="1"/>
    <col min="5132" max="5376" width="11.44140625" style="30"/>
    <col min="5377" max="5378" width="5.6640625" style="30" customWidth="1"/>
    <col min="5379" max="5379" width="14.33203125" style="30" customWidth="1"/>
    <col min="5380" max="5380" width="10.6640625" style="30" customWidth="1"/>
    <col min="5381" max="5381" width="24.109375" style="30" customWidth="1"/>
    <col min="5382" max="5382" width="25.5546875" style="30" customWidth="1"/>
    <col min="5383" max="5383" width="18.5546875" style="30" customWidth="1"/>
    <col min="5384" max="5384" width="12.109375" style="30" bestFit="1" customWidth="1"/>
    <col min="5385" max="5385" width="17.44140625" style="30" customWidth="1"/>
    <col min="5386" max="5386" width="11.44140625" style="30"/>
    <col min="5387" max="5387" width="13.88671875" style="30" customWidth="1"/>
    <col min="5388" max="5632" width="11.44140625" style="30"/>
    <col min="5633" max="5634" width="5.6640625" style="30" customWidth="1"/>
    <col min="5635" max="5635" width="14.33203125" style="30" customWidth="1"/>
    <col min="5636" max="5636" width="10.6640625" style="30" customWidth="1"/>
    <col min="5637" max="5637" width="24.109375" style="30" customWidth="1"/>
    <col min="5638" max="5638" width="25.5546875" style="30" customWidth="1"/>
    <col min="5639" max="5639" width="18.5546875" style="30" customWidth="1"/>
    <col min="5640" max="5640" width="12.109375" style="30" bestFit="1" customWidth="1"/>
    <col min="5641" max="5641" width="17.44140625" style="30" customWidth="1"/>
    <col min="5642" max="5642" width="11.44140625" style="30"/>
    <col min="5643" max="5643" width="13.88671875" style="30" customWidth="1"/>
    <col min="5644" max="5888" width="11.44140625" style="30"/>
    <col min="5889" max="5890" width="5.6640625" style="30" customWidth="1"/>
    <col min="5891" max="5891" width="14.33203125" style="30" customWidth="1"/>
    <col min="5892" max="5892" width="10.6640625" style="30" customWidth="1"/>
    <col min="5893" max="5893" width="24.109375" style="30" customWidth="1"/>
    <col min="5894" max="5894" width="25.5546875" style="30" customWidth="1"/>
    <col min="5895" max="5895" width="18.5546875" style="30" customWidth="1"/>
    <col min="5896" max="5896" width="12.109375" style="30" bestFit="1" customWidth="1"/>
    <col min="5897" max="5897" width="17.44140625" style="30" customWidth="1"/>
    <col min="5898" max="5898" width="11.44140625" style="30"/>
    <col min="5899" max="5899" width="13.88671875" style="30" customWidth="1"/>
    <col min="5900" max="6144" width="11.44140625" style="30"/>
    <col min="6145" max="6146" width="5.6640625" style="30" customWidth="1"/>
    <col min="6147" max="6147" width="14.33203125" style="30" customWidth="1"/>
    <col min="6148" max="6148" width="10.6640625" style="30" customWidth="1"/>
    <col min="6149" max="6149" width="24.109375" style="30" customWidth="1"/>
    <col min="6150" max="6150" width="25.5546875" style="30" customWidth="1"/>
    <col min="6151" max="6151" width="18.5546875" style="30" customWidth="1"/>
    <col min="6152" max="6152" width="12.109375" style="30" bestFit="1" customWidth="1"/>
    <col min="6153" max="6153" width="17.44140625" style="30" customWidth="1"/>
    <col min="6154" max="6154" width="11.44140625" style="30"/>
    <col min="6155" max="6155" width="13.88671875" style="30" customWidth="1"/>
    <col min="6156" max="6400" width="11.44140625" style="30"/>
    <col min="6401" max="6402" width="5.6640625" style="30" customWidth="1"/>
    <col min="6403" max="6403" width="14.33203125" style="30" customWidth="1"/>
    <col min="6404" max="6404" width="10.6640625" style="30" customWidth="1"/>
    <col min="6405" max="6405" width="24.109375" style="30" customWidth="1"/>
    <col min="6406" max="6406" width="25.5546875" style="30" customWidth="1"/>
    <col min="6407" max="6407" width="18.5546875" style="30" customWidth="1"/>
    <col min="6408" max="6408" width="12.109375" style="30" bestFit="1" customWidth="1"/>
    <col min="6409" max="6409" width="17.44140625" style="30" customWidth="1"/>
    <col min="6410" max="6410" width="11.44140625" style="30"/>
    <col min="6411" max="6411" width="13.88671875" style="30" customWidth="1"/>
    <col min="6412" max="6656" width="11.44140625" style="30"/>
    <col min="6657" max="6658" width="5.6640625" style="30" customWidth="1"/>
    <col min="6659" max="6659" width="14.33203125" style="30" customWidth="1"/>
    <col min="6660" max="6660" width="10.6640625" style="30" customWidth="1"/>
    <col min="6661" max="6661" width="24.109375" style="30" customWidth="1"/>
    <col min="6662" max="6662" width="25.5546875" style="30" customWidth="1"/>
    <col min="6663" max="6663" width="18.5546875" style="30" customWidth="1"/>
    <col min="6664" max="6664" width="12.109375" style="30" bestFit="1" customWidth="1"/>
    <col min="6665" max="6665" width="17.44140625" style="30" customWidth="1"/>
    <col min="6666" max="6666" width="11.44140625" style="30"/>
    <col min="6667" max="6667" width="13.88671875" style="30" customWidth="1"/>
    <col min="6668" max="6912" width="11.44140625" style="30"/>
    <col min="6913" max="6914" width="5.6640625" style="30" customWidth="1"/>
    <col min="6915" max="6915" width="14.33203125" style="30" customWidth="1"/>
    <col min="6916" max="6916" width="10.6640625" style="30" customWidth="1"/>
    <col min="6917" max="6917" width="24.109375" style="30" customWidth="1"/>
    <col min="6918" max="6918" width="25.5546875" style="30" customWidth="1"/>
    <col min="6919" max="6919" width="18.5546875" style="30" customWidth="1"/>
    <col min="6920" max="6920" width="12.109375" style="30" bestFit="1" customWidth="1"/>
    <col min="6921" max="6921" width="17.44140625" style="30" customWidth="1"/>
    <col min="6922" max="6922" width="11.44140625" style="30"/>
    <col min="6923" max="6923" width="13.88671875" style="30" customWidth="1"/>
    <col min="6924" max="7168" width="11.44140625" style="30"/>
    <col min="7169" max="7170" width="5.6640625" style="30" customWidth="1"/>
    <col min="7171" max="7171" width="14.33203125" style="30" customWidth="1"/>
    <col min="7172" max="7172" width="10.6640625" style="30" customWidth="1"/>
    <col min="7173" max="7173" width="24.109375" style="30" customWidth="1"/>
    <col min="7174" max="7174" width="25.5546875" style="30" customWidth="1"/>
    <col min="7175" max="7175" width="18.5546875" style="30" customWidth="1"/>
    <col min="7176" max="7176" width="12.109375" style="30" bestFit="1" customWidth="1"/>
    <col min="7177" max="7177" width="17.44140625" style="30" customWidth="1"/>
    <col min="7178" max="7178" width="11.44140625" style="30"/>
    <col min="7179" max="7179" width="13.88671875" style="30" customWidth="1"/>
    <col min="7180" max="7424" width="11.44140625" style="30"/>
    <col min="7425" max="7426" width="5.6640625" style="30" customWidth="1"/>
    <col min="7427" max="7427" width="14.33203125" style="30" customWidth="1"/>
    <col min="7428" max="7428" width="10.6640625" style="30" customWidth="1"/>
    <col min="7429" max="7429" width="24.109375" style="30" customWidth="1"/>
    <col min="7430" max="7430" width="25.5546875" style="30" customWidth="1"/>
    <col min="7431" max="7431" width="18.5546875" style="30" customWidth="1"/>
    <col min="7432" max="7432" width="12.109375" style="30" bestFit="1" customWidth="1"/>
    <col min="7433" max="7433" width="17.44140625" style="30" customWidth="1"/>
    <col min="7434" max="7434" width="11.44140625" style="30"/>
    <col min="7435" max="7435" width="13.88671875" style="30" customWidth="1"/>
    <col min="7436" max="7680" width="11.44140625" style="30"/>
    <col min="7681" max="7682" width="5.6640625" style="30" customWidth="1"/>
    <col min="7683" max="7683" width="14.33203125" style="30" customWidth="1"/>
    <col min="7684" max="7684" width="10.6640625" style="30" customWidth="1"/>
    <col min="7685" max="7685" width="24.109375" style="30" customWidth="1"/>
    <col min="7686" max="7686" width="25.5546875" style="30" customWidth="1"/>
    <col min="7687" max="7687" width="18.5546875" style="30" customWidth="1"/>
    <col min="7688" max="7688" width="12.109375" style="30" bestFit="1" customWidth="1"/>
    <col min="7689" max="7689" width="17.44140625" style="30" customWidth="1"/>
    <col min="7690" max="7690" width="11.44140625" style="30"/>
    <col min="7691" max="7691" width="13.88671875" style="30" customWidth="1"/>
    <col min="7692" max="7936" width="11.44140625" style="30"/>
    <col min="7937" max="7938" width="5.6640625" style="30" customWidth="1"/>
    <col min="7939" max="7939" width="14.33203125" style="30" customWidth="1"/>
    <col min="7940" max="7940" width="10.6640625" style="30" customWidth="1"/>
    <col min="7941" max="7941" width="24.109375" style="30" customWidth="1"/>
    <col min="7942" max="7942" width="25.5546875" style="30" customWidth="1"/>
    <col min="7943" max="7943" width="18.5546875" style="30" customWidth="1"/>
    <col min="7944" max="7944" width="12.109375" style="30" bestFit="1" customWidth="1"/>
    <col min="7945" max="7945" width="17.44140625" style="30" customWidth="1"/>
    <col min="7946" max="7946" width="11.44140625" style="30"/>
    <col min="7947" max="7947" width="13.88671875" style="30" customWidth="1"/>
    <col min="7948" max="8192" width="11.44140625" style="30"/>
    <col min="8193" max="8194" width="5.6640625" style="30" customWidth="1"/>
    <col min="8195" max="8195" width="14.33203125" style="30" customWidth="1"/>
    <col min="8196" max="8196" width="10.6640625" style="30" customWidth="1"/>
    <col min="8197" max="8197" width="24.109375" style="30" customWidth="1"/>
    <col min="8198" max="8198" width="25.5546875" style="30" customWidth="1"/>
    <col min="8199" max="8199" width="18.5546875" style="30" customWidth="1"/>
    <col min="8200" max="8200" width="12.109375" style="30" bestFit="1" customWidth="1"/>
    <col min="8201" max="8201" width="17.44140625" style="30" customWidth="1"/>
    <col min="8202" max="8202" width="11.44140625" style="30"/>
    <col min="8203" max="8203" width="13.88671875" style="30" customWidth="1"/>
    <col min="8204" max="8448" width="11.44140625" style="30"/>
    <col min="8449" max="8450" width="5.6640625" style="30" customWidth="1"/>
    <col min="8451" max="8451" width="14.33203125" style="30" customWidth="1"/>
    <col min="8452" max="8452" width="10.6640625" style="30" customWidth="1"/>
    <col min="8453" max="8453" width="24.109375" style="30" customWidth="1"/>
    <col min="8454" max="8454" width="25.5546875" style="30" customWidth="1"/>
    <col min="8455" max="8455" width="18.5546875" style="30" customWidth="1"/>
    <col min="8456" max="8456" width="12.109375" style="30" bestFit="1" customWidth="1"/>
    <col min="8457" max="8457" width="17.44140625" style="30" customWidth="1"/>
    <col min="8458" max="8458" width="11.44140625" style="30"/>
    <col min="8459" max="8459" width="13.88671875" style="30" customWidth="1"/>
    <col min="8460" max="8704" width="11.44140625" style="30"/>
    <col min="8705" max="8706" width="5.6640625" style="30" customWidth="1"/>
    <col min="8707" max="8707" width="14.33203125" style="30" customWidth="1"/>
    <col min="8708" max="8708" width="10.6640625" style="30" customWidth="1"/>
    <col min="8709" max="8709" width="24.109375" style="30" customWidth="1"/>
    <col min="8710" max="8710" width="25.5546875" style="30" customWidth="1"/>
    <col min="8711" max="8711" width="18.5546875" style="30" customWidth="1"/>
    <col min="8712" max="8712" width="12.109375" style="30" bestFit="1" customWidth="1"/>
    <col min="8713" max="8713" width="17.44140625" style="30" customWidth="1"/>
    <col min="8714" max="8714" width="11.44140625" style="30"/>
    <col min="8715" max="8715" width="13.88671875" style="30" customWidth="1"/>
    <col min="8716" max="8960" width="11.44140625" style="30"/>
    <col min="8961" max="8962" width="5.6640625" style="30" customWidth="1"/>
    <col min="8963" max="8963" width="14.33203125" style="30" customWidth="1"/>
    <col min="8964" max="8964" width="10.6640625" style="30" customWidth="1"/>
    <col min="8965" max="8965" width="24.109375" style="30" customWidth="1"/>
    <col min="8966" max="8966" width="25.5546875" style="30" customWidth="1"/>
    <col min="8967" max="8967" width="18.5546875" style="30" customWidth="1"/>
    <col min="8968" max="8968" width="12.109375" style="30" bestFit="1" customWidth="1"/>
    <col min="8969" max="8969" width="17.44140625" style="30" customWidth="1"/>
    <col min="8970" max="8970" width="11.44140625" style="30"/>
    <col min="8971" max="8971" width="13.88671875" style="30" customWidth="1"/>
    <col min="8972" max="9216" width="11.44140625" style="30"/>
    <col min="9217" max="9218" width="5.6640625" style="30" customWidth="1"/>
    <col min="9219" max="9219" width="14.33203125" style="30" customWidth="1"/>
    <col min="9220" max="9220" width="10.6640625" style="30" customWidth="1"/>
    <col min="9221" max="9221" width="24.109375" style="30" customWidth="1"/>
    <col min="9222" max="9222" width="25.5546875" style="30" customWidth="1"/>
    <col min="9223" max="9223" width="18.5546875" style="30" customWidth="1"/>
    <col min="9224" max="9224" width="12.109375" style="30" bestFit="1" customWidth="1"/>
    <col min="9225" max="9225" width="17.44140625" style="30" customWidth="1"/>
    <col min="9226" max="9226" width="11.44140625" style="30"/>
    <col min="9227" max="9227" width="13.88671875" style="30" customWidth="1"/>
    <col min="9228" max="9472" width="11.44140625" style="30"/>
    <col min="9473" max="9474" width="5.6640625" style="30" customWidth="1"/>
    <col min="9475" max="9475" width="14.33203125" style="30" customWidth="1"/>
    <col min="9476" max="9476" width="10.6640625" style="30" customWidth="1"/>
    <col min="9477" max="9477" width="24.109375" style="30" customWidth="1"/>
    <col min="9478" max="9478" width="25.5546875" style="30" customWidth="1"/>
    <col min="9479" max="9479" width="18.5546875" style="30" customWidth="1"/>
    <col min="9480" max="9480" width="12.109375" style="30" bestFit="1" customWidth="1"/>
    <col min="9481" max="9481" width="17.44140625" style="30" customWidth="1"/>
    <col min="9482" max="9482" width="11.44140625" style="30"/>
    <col min="9483" max="9483" width="13.88671875" style="30" customWidth="1"/>
    <col min="9484" max="9728" width="11.44140625" style="30"/>
    <col min="9729" max="9730" width="5.6640625" style="30" customWidth="1"/>
    <col min="9731" max="9731" width="14.33203125" style="30" customWidth="1"/>
    <col min="9732" max="9732" width="10.6640625" style="30" customWidth="1"/>
    <col min="9733" max="9733" width="24.109375" style="30" customWidth="1"/>
    <col min="9734" max="9734" width="25.5546875" style="30" customWidth="1"/>
    <col min="9735" max="9735" width="18.5546875" style="30" customWidth="1"/>
    <col min="9736" max="9736" width="12.109375" style="30" bestFit="1" customWidth="1"/>
    <col min="9737" max="9737" width="17.44140625" style="30" customWidth="1"/>
    <col min="9738" max="9738" width="11.44140625" style="30"/>
    <col min="9739" max="9739" width="13.88671875" style="30" customWidth="1"/>
    <col min="9740" max="9984" width="11.44140625" style="30"/>
    <col min="9985" max="9986" width="5.6640625" style="30" customWidth="1"/>
    <col min="9987" max="9987" width="14.33203125" style="30" customWidth="1"/>
    <col min="9988" max="9988" width="10.6640625" style="30" customWidth="1"/>
    <col min="9989" max="9989" width="24.109375" style="30" customWidth="1"/>
    <col min="9990" max="9990" width="25.5546875" style="30" customWidth="1"/>
    <col min="9991" max="9991" width="18.5546875" style="30" customWidth="1"/>
    <col min="9992" max="9992" width="12.109375" style="30" bestFit="1" customWidth="1"/>
    <col min="9993" max="9993" width="17.44140625" style="30" customWidth="1"/>
    <col min="9994" max="9994" width="11.44140625" style="30"/>
    <col min="9995" max="9995" width="13.88671875" style="30" customWidth="1"/>
    <col min="9996" max="10240" width="11.44140625" style="30"/>
    <col min="10241" max="10242" width="5.6640625" style="30" customWidth="1"/>
    <col min="10243" max="10243" width="14.33203125" style="30" customWidth="1"/>
    <col min="10244" max="10244" width="10.6640625" style="30" customWidth="1"/>
    <col min="10245" max="10245" width="24.109375" style="30" customWidth="1"/>
    <col min="10246" max="10246" width="25.5546875" style="30" customWidth="1"/>
    <col min="10247" max="10247" width="18.5546875" style="30" customWidth="1"/>
    <col min="10248" max="10248" width="12.109375" style="30" bestFit="1" customWidth="1"/>
    <col min="10249" max="10249" width="17.44140625" style="30" customWidth="1"/>
    <col min="10250" max="10250" width="11.44140625" style="30"/>
    <col min="10251" max="10251" width="13.88671875" style="30" customWidth="1"/>
    <col min="10252" max="10496" width="11.44140625" style="30"/>
    <col min="10497" max="10498" width="5.6640625" style="30" customWidth="1"/>
    <col min="10499" max="10499" width="14.33203125" style="30" customWidth="1"/>
    <col min="10500" max="10500" width="10.6640625" style="30" customWidth="1"/>
    <col min="10501" max="10501" width="24.109375" style="30" customWidth="1"/>
    <col min="10502" max="10502" width="25.5546875" style="30" customWidth="1"/>
    <col min="10503" max="10503" width="18.5546875" style="30" customWidth="1"/>
    <col min="10504" max="10504" width="12.109375" style="30" bestFit="1" customWidth="1"/>
    <col min="10505" max="10505" width="17.44140625" style="30" customWidth="1"/>
    <col min="10506" max="10506" width="11.44140625" style="30"/>
    <col min="10507" max="10507" width="13.88671875" style="30" customWidth="1"/>
    <col min="10508" max="10752" width="11.44140625" style="30"/>
    <col min="10753" max="10754" width="5.6640625" style="30" customWidth="1"/>
    <col min="10755" max="10755" width="14.33203125" style="30" customWidth="1"/>
    <col min="10756" max="10756" width="10.6640625" style="30" customWidth="1"/>
    <col min="10757" max="10757" width="24.109375" style="30" customWidth="1"/>
    <col min="10758" max="10758" width="25.5546875" style="30" customWidth="1"/>
    <col min="10759" max="10759" width="18.5546875" style="30" customWidth="1"/>
    <col min="10760" max="10760" width="12.109375" style="30" bestFit="1" customWidth="1"/>
    <col min="10761" max="10761" width="17.44140625" style="30" customWidth="1"/>
    <col min="10762" max="10762" width="11.44140625" style="30"/>
    <col min="10763" max="10763" width="13.88671875" style="30" customWidth="1"/>
    <col min="10764" max="11008" width="11.44140625" style="30"/>
    <col min="11009" max="11010" width="5.6640625" style="30" customWidth="1"/>
    <col min="11011" max="11011" width="14.33203125" style="30" customWidth="1"/>
    <col min="11012" max="11012" width="10.6640625" style="30" customWidth="1"/>
    <col min="11013" max="11013" width="24.109375" style="30" customWidth="1"/>
    <col min="11014" max="11014" width="25.5546875" style="30" customWidth="1"/>
    <col min="11015" max="11015" width="18.5546875" style="30" customWidth="1"/>
    <col min="11016" max="11016" width="12.109375" style="30" bestFit="1" customWidth="1"/>
    <col min="11017" max="11017" width="17.44140625" style="30" customWidth="1"/>
    <col min="11018" max="11018" width="11.44140625" style="30"/>
    <col min="11019" max="11019" width="13.88671875" style="30" customWidth="1"/>
    <col min="11020" max="11264" width="11.44140625" style="30"/>
    <col min="11265" max="11266" width="5.6640625" style="30" customWidth="1"/>
    <col min="11267" max="11267" width="14.33203125" style="30" customWidth="1"/>
    <col min="11268" max="11268" width="10.6640625" style="30" customWidth="1"/>
    <col min="11269" max="11269" width="24.109375" style="30" customWidth="1"/>
    <col min="11270" max="11270" width="25.5546875" style="30" customWidth="1"/>
    <col min="11271" max="11271" width="18.5546875" style="30" customWidth="1"/>
    <col min="11272" max="11272" width="12.109375" style="30" bestFit="1" customWidth="1"/>
    <col min="11273" max="11273" width="17.44140625" style="30" customWidth="1"/>
    <col min="11274" max="11274" width="11.44140625" style="30"/>
    <col min="11275" max="11275" width="13.88671875" style="30" customWidth="1"/>
    <col min="11276" max="11520" width="11.44140625" style="30"/>
    <col min="11521" max="11522" width="5.6640625" style="30" customWidth="1"/>
    <col min="11523" max="11523" width="14.33203125" style="30" customWidth="1"/>
    <col min="11524" max="11524" width="10.6640625" style="30" customWidth="1"/>
    <col min="11525" max="11525" width="24.109375" style="30" customWidth="1"/>
    <col min="11526" max="11526" width="25.5546875" style="30" customWidth="1"/>
    <col min="11527" max="11527" width="18.5546875" style="30" customWidth="1"/>
    <col min="11528" max="11528" width="12.109375" style="30" bestFit="1" customWidth="1"/>
    <col min="11529" max="11529" width="17.44140625" style="30" customWidth="1"/>
    <col min="11530" max="11530" width="11.44140625" style="30"/>
    <col min="11531" max="11531" width="13.88671875" style="30" customWidth="1"/>
    <col min="11532" max="11776" width="11.44140625" style="30"/>
    <col min="11777" max="11778" width="5.6640625" style="30" customWidth="1"/>
    <col min="11779" max="11779" width="14.33203125" style="30" customWidth="1"/>
    <col min="11780" max="11780" width="10.6640625" style="30" customWidth="1"/>
    <col min="11781" max="11781" width="24.109375" style="30" customWidth="1"/>
    <col min="11782" max="11782" width="25.5546875" style="30" customWidth="1"/>
    <col min="11783" max="11783" width="18.5546875" style="30" customWidth="1"/>
    <col min="11784" max="11784" width="12.109375" style="30" bestFit="1" customWidth="1"/>
    <col min="11785" max="11785" width="17.44140625" style="30" customWidth="1"/>
    <col min="11786" max="11786" width="11.44140625" style="30"/>
    <col min="11787" max="11787" width="13.88671875" style="30" customWidth="1"/>
    <col min="11788" max="12032" width="11.44140625" style="30"/>
    <col min="12033" max="12034" width="5.6640625" style="30" customWidth="1"/>
    <col min="12035" max="12035" width="14.33203125" style="30" customWidth="1"/>
    <col min="12036" max="12036" width="10.6640625" style="30" customWidth="1"/>
    <col min="12037" max="12037" width="24.109375" style="30" customWidth="1"/>
    <col min="12038" max="12038" width="25.5546875" style="30" customWidth="1"/>
    <col min="12039" max="12039" width="18.5546875" style="30" customWidth="1"/>
    <col min="12040" max="12040" width="12.109375" style="30" bestFit="1" customWidth="1"/>
    <col min="12041" max="12041" width="17.44140625" style="30" customWidth="1"/>
    <col min="12042" max="12042" width="11.44140625" style="30"/>
    <col min="12043" max="12043" width="13.88671875" style="30" customWidth="1"/>
    <col min="12044" max="12288" width="11.44140625" style="30"/>
    <col min="12289" max="12290" width="5.6640625" style="30" customWidth="1"/>
    <col min="12291" max="12291" width="14.33203125" style="30" customWidth="1"/>
    <col min="12292" max="12292" width="10.6640625" style="30" customWidth="1"/>
    <col min="12293" max="12293" width="24.109375" style="30" customWidth="1"/>
    <col min="12294" max="12294" width="25.5546875" style="30" customWidth="1"/>
    <col min="12295" max="12295" width="18.5546875" style="30" customWidth="1"/>
    <col min="12296" max="12296" width="12.109375" style="30" bestFit="1" customWidth="1"/>
    <col min="12297" max="12297" width="17.44140625" style="30" customWidth="1"/>
    <col min="12298" max="12298" width="11.44140625" style="30"/>
    <col min="12299" max="12299" width="13.88671875" style="30" customWidth="1"/>
    <col min="12300" max="12544" width="11.44140625" style="30"/>
    <col min="12545" max="12546" width="5.6640625" style="30" customWidth="1"/>
    <col min="12547" max="12547" width="14.33203125" style="30" customWidth="1"/>
    <col min="12548" max="12548" width="10.6640625" style="30" customWidth="1"/>
    <col min="12549" max="12549" width="24.109375" style="30" customWidth="1"/>
    <col min="12550" max="12550" width="25.5546875" style="30" customWidth="1"/>
    <col min="12551" max="12551" width="18.5546875" style="30" customWidth="1"/>
    <col min="12552" max="12552" width="12.109375" style="30" bestFit="1" customWidth="1"/>
    <col min="12553" max="12553" width="17.44140625" style="30" customWidth="1"/>
    <col min="12554" max="12554" width="11.44140625" style="30"/>
    <col min="12555" max="12555" width="13.88671875" style="30" customWidth="1"/>
    <col min="12556" max="12800" width="11.44140625" style="30"/>
    <col min="12801" max="12802" width="5.6640625" style="30" customWidth="1"/>
    <col min="12803" max="12803" width="14.33203125" style="30" customWidth="1"/>
    <col min="12804" max="12804" width="10.6640625" style="30" customWidth="1"/>
    <col min="12805" max="12805" width="24.109375" style="30" customWidth="1"/>
    <col min="12806" max="12806" width="25.5546875" style="30" customWidth="1"/>
    <col min="12807" max="12807" width="18.5546875" style="30" customWidth="1"/>
    <col min="12808" max="12808" width="12.109375" style="30" bestFit="1" customWidth="1"/>
    <col min="12809" max="12809" width="17.44140625" style="30" customWidth="1"/>
    <col min="12810" max="12810" width="11.44140625" style="30"/>
    <col min="12811" max="12811" width="13.88671875" style="30" customWidth="1"/>
    <col min="12812" max="13056" width="11.44140625" style="30"/>
    <col min="13057" max="13058" width="5.6640625" style="30" customWidth="1"/>
    <col min="13059" max="13059" width="14.33203125" style="30" customWidth="1"/>
    <col min="13060" max="13060" width="10.6640625" style="30" customWidth="1"/>
    <col min="13061" max="13061" width="24.109375" style="30" customWidth="1"/>
    <col min="13062" max="13062" width="25.5546875" style="30" customWidth="1"/>
    <col min="13063" max="13063" width="18.5546875" style="30" customWidth="1"/>
    <col min="13064" max="13064" width="12.109375" style="30" bestFit="1" customWidth="1"/>
    <col min="13065" max="13065" width="17.44140625" style="30" customWidth="1"/>
    <col min="13066" max="13066" width="11.44140625" style="30"/>
    <col min="13067" max="13067" width="13.88671875" style="30" customWidth="1"/>
    <col min="13068" max="13312" width="11.44140625" style="30"/>
    <col min="13313" max="13314" width="5.6640625" style="30" customWidth="1"/>
    <col min="13315" max="13315" width="14.33203125" style="30" customWidth="1"/>
    <col min="13316" max="13316" width="10.6640625" style="30" customWidth="1"/>
    <col min="13317" max="13317" width="24.109375" style="30" customWidth="1"/>
    <col min="13318" max="13318" width="25.5546875" style="30" customWidth="1"/>
    <col min="13319" max="13319" width="18.5546875" style="30" customWidth="1"/>
    <col min="13320" max="13320" width="12.109375" style="30" bestFit="1" customWidth="1"/>
    <col min="13321" max="13321" width="17.44140625" style="30" customWidth="1"/>
    <col min="13322" max="13322" width="11.44140625" style="30"/>
    <col min="13323" max="13323" width="13.88671875" style="30" customWidth="1"/>
    <col min="13324" max="13568" width="11.44140625" style="30"/>
    <col min="13569" max="13570" width="5.6640625" style="30" customWidth="1"/>
    <col min="13571" max="13571" width="14.33203125" style="30" customWidth="1"/>
    <col min="13572" max="13572" width="10.6640625" style="30" customWidth="1"/>
    <col min="13573" max="13573" width="24.109375" style="30" customWidth="1"/>
    <col min="13574" max="13574" width="25.5546875" style="30" customWidth="1"/>
    <col min="13575" max="13575" width="18.5546875" style="30" customWidth="1"/>
    <col min="13576" max="13576" width="12.109375" style="30" bestFit="1" customWidth="1"/>
    <col min="13577" max="13577" width="17.44140625" style="30" customWidth="1"/>
    <col min="13578" max="13578" width="11.44140625" style="30"/>
    <col min="13579" max="13579" width="13.88671875" style="30" customWidth="1"/>
    <col min="13580" max="13824" width="11.44140625" style="30"/>
    <col min="13825" max="13826" width="5.6640625" style="30" customWidth="1"/>
    <col min="13827" max="13827" width="14.33203125" style="30" customWidth="1"/>
    <col min="13828" max="13828" width="10.6640625" style="30" customWidth="1"/>
    <col min="13829" max="13829" width="24.109375" style="30" customWidth="1"/>
    <col min="13830" max="13830" width="25.5546875" style="30" customWidth="1"/>
    <col min="13831" max="13831" width="18.5546875" style="30" customWidth="1"/>
    <col min="13832" max="13832" width="12.109375" style="30" bestFit="1" customWidth="1"/>
    <col min="13833" max="13833" width="17.44140625" style="30" customWidth="1"/>
    <col min="13834" max="13834" width="11.44140625" style="30"/>
    <col min="13835" max="13835" width="13.88671875" style="30" customWidth="1"/>
    <col min="13836" max="14080" width="11.44140625" style="30"/>
    <col min="14081" max="14082" width="5.6640625" style="30" customWidth="1"/>
    <col min="14083" max="14083" width="14.33203125" style="30" customWidth="1"/>
    <col min="14084" max="14084" width="10.6640625" style="30" customWidth="1"/>
    <col min="14085" max="14085" width="24.109375" style="30" customWidth="1"/>
    <col min="14086" max="14086" width="25.5546875" style="30" customWidth="1"/>
    <col min="14087" max="14087" width="18.5546875" style="30" customWidth="1"/>
    <col min="14088" max="14088" width="12.109375" style="30" bestFit="1" customWidth="1"/>
    <col min="14089" max="14089" width="17.44140625" style="30" customWidth="1"/>
    <col min="14090" max="14090" width="11.44140625" style="30"/>
    <col min="14091" max="14091" width="13.88671875" style="30" customWidth="1"/>
    <col min="14092" max="14336" width="11.44140625" style="30"/>
    <col min="14337" max="14338" width="5.6640625" style="30" customWidth="1"/>
    <col min="14339" max="14339" width="14.33203125" style="30" customWidth="1"/>
    <col min="14340" max="14340" width="10.6640625" style="30" customWidth="1"/>
    <col min="14341" max="14341" width="24.109375" style="30" customWidth="1"/>
    <col min="14342" max="14342" width="25.5546875" style="30" customWidth="1"/>
    <col min="14343" max="14343" width="18.5546875" style="30" customWidth="1"/>
    <col min="14344" max="14344" width="12.109375" style="30" bestFit="1" customWidth="1"/>
    <col min="14345" max="14345" width="17.44140625" style="30" customWidth="1"/>
    <col min="14346" max="14346" width="11.44140625" style="30"/>
    <col min="14347" max="14347" width="13.88671875" style="30" customWidth="1"/>
    <col min="14348" max="14592" width="11.44140625" style="30"/>
    <col min="14593" max="14594" width="5.6640625" style="30" customWidth="1"/>
    <col min="14595" max="14595" width="14.33203125" style="30" customWidth="1"/>
    <col min="14596" max="14596" width="10.6640625" style="30" customWidth="1"/>
    <col min="14597" max="14597" width="24.109375" style="30" customWidth="1"/>
    <col min="14598" max="14598" width="25.5546875" style="30" customWidth="1"/>
    <col min="14599" max="14599" width="18.5546875" style="30" customWidth="1"/>
    <col min="14600" max="14600" width="12.109375" style="30" bestFit="1" customWidth="1"/>
    <col min="14601" max="14601" width="17.44140625" style="30" customWidth="1"/>
    <col min="14602" max="14602" width="11.44140625" style="30"/>
    <col min="14603" max="14603" width="13.88671875" style="30" customWidth="1"/>
    <col min="14604" max="14848" width="11.44140625" style="30"/>
    <col min="14849" max="14850" width="5.6640625" style="30" customWidth="1"/>
    <col min="14851" max="14851" width="14.33203125" style="30" customWidth="1"/>
    <col min="14852" max="14852" width="10.6640625" style="30" customWidth="1"/>
    <col min="14853" max="14853" width="24.109375" style="30" customWidth="1"/>
    <col min="14854" max="14854" width="25.5546875" style="30" customWidth="1"/>
    <col min="14855" max="14855" width="18.5546875" style="30" customWidth="1"/>
    <col min="14856" max="14856" width="12.109375" style="30" bestFit="1" customWidth="1"/>
    <col min="14857" max="14857" width="17.44140625" style="30" customWidth="1"/>
    <col min="14858" max="14858" width="11.44140625" style="30"/>
    <col min="14859" max="14859" width="13.88671875" style="30" customWidth="1"/>
    <col min="14860" max="15104" width="11.44140625" style="30"/>
    <col min="15105" max="15106" width="5.6640625" style="30" customWidth="1"/>
    <col min="15107" max="15107" width="14.33203125" style="30" customWidth="1"/>
    <col min="15108" max="15108" width="10.6640625" style="30" customWidth="1"/>
    <col min="15109" max="15109" width="24.109375" style="30" customWidth="1"/>
    <col min="15110" max="15110" width="25.5546875" style="30" customWidth="1"/>
    <col min="15111" max="15111" width="18.5546875" style="30" customWidth="1"/>
    <col min="15112" max="15112" width="12.109375" style="30" bestFit="1" customWidth="1"/>
    <col min="15113" max="15113" width="17.44140625" style="30" customWidth="1"/>
    <col min="15114" max="15114" width="11.44140625" style="30"/>
    <col min="15115" max="15115" width="13.88671875" style="30" customWidth="1"/>
    <col min="15116" max="15360" width="11.44140625" style="30"/>
    <col min="15361" max="15362" width="5.6640625" style="30" customWidth="1"/>
    <col min="15363" max="15363" width="14.33203125" style="30" customWidth="1"/>
    <col min="15364" max="15364" width="10.6640625" style="30" customWidth="1"/>
    <col min="15365" max="15365" width="24.109375" style="30" customWidth="1"/>
    <col min="15366" max="15366" width="25.5546875" style="30" customWidth="1"/>
    <col min="15367" max="15367" width="18.5546875" style="30" customWidth="1"/>
    <col min="15368" max="15368" width="12.109375" style="30" bestFit="1" customWidth="1"/>
    <col min="15369" max="15369" width="17.44140625" style="30" customWidth="1"/>
    <col min="15370" max="15370" width="11.44140625" style="30"/>
    <col min="15371" max="15371" width="13.88671875" style="30" customWidth="1"/>
    <col min="15372" max="15616" width="11.44140625" style="30"/>
    <col min="15617" max="15618" width="5.6640625" style="30" customWidth="1"/>
    <col min="15619" max="15619" width="14.33203125" style="30" customWidth="1"/>
    <col min="15620" max="15620" width="10.6640625" style="30" customWidth="1"/>
    <col min="15621" max="15621" width="24.109375" style="30" customWidth="1"/>
    <col min="15622" max="15622" width="25.5546875" style="30" customWidth="1"/>
    <col min="15623" max="15623" width="18.5546875" style="30" customWidth="1"/>
    <col min="15624" max="15624" width="12.109375" style="30" bestFit="1" customWidth="1"/>
    <col min="15625" max="15625" width="17.44140625" style="30" customWidth="1"/>
    <col min="15626" max="15626" width="11.44140625" style="30"/>
    <col min="15627" max="15627" width="13.88671875" style="30" customWidth="1"/>
    <col min="15628" max="15872" width="11.44140625" style="30"/>
    <col min="15873" max="15874" width="5.6640625" style="30" customWidth="1"/>
    <col min="15875" max="15875" width="14.33203125" style="30" customWidth="1"/>
    <col min="15876" max="15876" width="10.6640625" style="30" customWidth="1"/>
    <col min="15877" max="15877" width="24.109375" style="30" customWidth="1"/>
    <col min="15878" max="15878" width="25.5546875" style="30" customWidth="1"/>
    <col min="15879" max="15879" width="18.5546875" style="30" customWidth="1"/>
    <col min="15880" max="15880" width="12.109375" style="30" bestFit="1" customWidth="1"/>
    <col min="15881" max="15881" width="17.44140625" style="30" customWidth="1"/>
    <col min="15882" max="15882" width="11.44140625" style="30"/>
    <col min="15883" max="15883" width="13.88671875" style="30" customWidth="1"/>
    <col min="15884" max="16128" width="11.44140625" style="30"/>
    <col min="16129" max="16130" width="5.6640625" style="30" customWidth="1"/>
    <col min="16131" max="16131" width="14.33203125" style="30" customWidth="1"/>
    <col min="16132" max="16132" width="10.6640625" style="30" customWidth="1"/>
    <col min="16133" max="16133" width="24.109375" style="30" customWidth="1"/>
    <col min="16134" max="16134" width="25.5546875" style="30" customWidth="1"/>
    <col min="16135" max="16135" width="18.5546875" style="30" customWidth="1"/>
    <col min="16136" max="16136" width="12.109375" style="30" bestFit="1" customWidth="1"/>
    <col min="16137" max="16137" width="17.44140625" style="30" customWidth="1"/>
    <col min="16138" max="16138" width="11.44140625" style="30"/>
    <col min="16139" max="16139" width="13.88671875" style="30" customWidth="1"/>
    <col min="16140" max="16384" width="11.44140625" style="30"/>
  </cols>
  <sheetData>
    <row r="5" spans="1:11" ht="17.399999999999999" x14ac:dyDescent="0.25">
      <c r="A5" s="432" t="s">
        <v>216</v>
      </c>
      <c r="B5" s="432"/>
      <c r="C5" s="432"/>
      <c r="D5" s="432"/>
      <c r="E5" s="432"/>
      <c r="F5" s="432"/>
      <c r="G5" s="432"/>
    </row>
    <row r="6" spans="1:11" ht="17.399999999999999" x14ac:dyDescent="0.25">
      <c r="A6" s="397"/>
      <c r="B6" s="397"/>
      <c r="C6" s="397"/>
      <c r="D6" s="397"/>
      <c r="E6" s="397"/>
      <c r="F6" s="397"/>
      <c r="G6" s="397"/>
    </row>
    <row r="7" spans="1:11" s="225" customFormat="1" ht="49.2" customHeight="1" x14ac:dyDescent="0.3">
      <c r="A7" s="444" t="s">
        <v>215</v>
      </c>
      <c r="B7" s="444"/>
      <c r="C7" s="443" t="s">
        <v>357</v>
      </c>
      <c r="D7" s="443"/>
      <c r="E7" s="443"/>
      <c r="F7" s="443"/>
      <c r="G7" s="443"/>
    </row>
    <row r="8" spans="1:11" ht="21.6" customHeight="1" x14ac:dyDescent="0.25">
      <c r="A8" s="223"/>
      <c r="C8" s="224"/>
      <c r="F8" s="389" t="str">
        <f>PRESUPUESTO!F6</f>
        <v>Fecha Pres.</v>
      </c>
      <c r="G8" s="388">
        <f>PRESUPUESTO!G6</f>
        <v>44707</v>
      </c>
    </row>
    <row r="9" spans="1:11" s="2" customFormat="1" ht="15.9" customHeight="1" x14ac:dyDescent="0.3">
      <c r="A9" s="434" t="s">
        <v>218</v>
      </c>
      <c r="B9" s="435"/>
      <c r="C9" s="435"/>
      <c r="D9" s="435"/>
      <c r="E9" s="436"/>
      <c r="F9" s="440" t="s">
        <v>185</v>
      </c>
      <c r="G9" s="441"/>
      <c r="H9" s="1"/>
      <c r="I9" s="1"/>
    </row>
    <row r="10" spans="1:11" s="2" customFormat="1" ht="15.9" customHeight="1" x14ac:dyDescent="0.3">
      <c r="A10" s="437"/>
      <c r="B10" s="438"/>
      <c r="C10" s="438"/>
      <c r="D10" s="438"/>
      <c r="E10" s="439"/>
      <c r="F10" s="226" t="s">
        <v>427</v>
      </c>
      <c r="G10" s="227" t="s">
        <v>0</v>
      </c>
      <c r="H10" s="1"/>
      <c r="I10" s="1"/>
      <c r="K10" s="3"/>
    </row>
    <row r="11" spans="1:11" s="10" customFormat="1" ht="9.9" customHeight="1" x14ac:dyDescent="0.3">
      <c r="A11" s="4"/>
      <c r="B11" s="5"/>
      <c r="C11" s="6"/>
      <c r="D11" s="6"/>
      <c r="E11" s="6"/>
      <c r="F11" s="7"/>
      <c r="G11" s="8"/>
      <c r="H11" s="9"/>
      <c r="I11" s="9"/>
      <c r="J11" s="9"/>
      <c r="K11" s="9"/>
    </row>
    <row r="12" spans="1:11" s="10" customFormat="1" ht="15.9" customHeight="1" x14ac:dyDescent="0.3">
      <c r="A12" s="198"/>
      <c r="B12" s="199" t="s">
        <v>2</v>
      </c>
      <c r="C12" s="199" t="s">
        <v>1</v>
      </c>
      <c r="D12" s="199"/>
      <c r="E12" s="199"/>
      <c r="F12" s="243">
        <f>PRESUPUESTO!G55</f>
        <v>2098036.6882603788</v>
      </c>
      <c r="G12" s="208"/>
      <c r="H12" s="9"/>
      <c r="I12" s="9"/>
      <c r="J12" s="11"/>
      <c r="K12" s="11"/>
    </row>
    <row r="13" spans="1:11" s="10" customFormat="1" ht="9.9" customHeight="1" x14ac:dyDescent="0.25">
      <c r="A13" s="12"/>
      <c r="B13" s="13"/>
      <c r="C13" s="13"/>
      <c r="D13" s="13"/>
      <c r="E13" s="13"/>
      <c r="F13" s="14"/>
      <c r="G13" s="15"/>
      <c r="H13" s="9"/>
      <c r="I13" s="9"/>
      <c r="J13" s="9"/>
      <c r="K13" s="9"/>
    </row>
    <row r="14" spans="1:11" s="18" customFormat="1" ht="9.9" customHeight="1" x14ac:dyDescent="0.25">
      <c r="A14" s="229"/>
      <c r="B14" s="230"/>
      <c r="C14" s="230"/>
      <c r="D14" s="230"/>
      <c r="E14" s="230"/>
      <c r="F14" s="231"/>
      <c r="G14" s="232"/>
      <c r="H14" s="17"/>
      <c r="I14" s="17"/>
    </row>
    <row r="15" spans="1:11" s="18" customFormat="1" ht="15.6" x14ac:dyDescent="0.3">
      <c r="A15" s="233"/>
      <c r="B15" s="234" t="s">
        <v>3</v>
      </c>
      <c r="C15" s="5"/>
      <c r="D15" s="230"/>
      <c r="E15" s="230"/>
      <c r="F15" s="231"/>
      <c r="G15" s="235"/>
      <c r="H15" s="17"/>
      <c r="I15" s="17"/>
      <c r="K15" s="19"/>
    </row>
    <row r="16" spans="1:11" s="18" customFormat="1" ht="9.9" customHeight="1" x14ac:dyDescent="0.25">
      <c r="A16" s="229"/>
      <c r="B16" s="230"/>
      <c r="C16" s="230"/>
      <c r="D16" s="230"/>
      <c r="E16" s="230"/>
      <c r="F16" s="231"/>
      <c r="G16" s="235"/>
      <c r="H16" s="17"/>
      <c r="I16" s="17"/>
    </row>
    <row r="17" spans="1:13" s="18" customFormat="1" ht="15.9" customHeight="1" x14ac:dyDescent="0.25">
      <c r="A17" s="229"/>
      <c r="B17" s="230" t="s">
        <v>4</v>
      </c>
      <c r="C17" s="230" t="s">
        <v>5</v>
      </c>
      <c r="D17" s="230"/>
      <c r="E17" s="230"/>
      <c r="F17" s="236">
        <f>'GG FIJO'!G49</f>
        <v>44718.69</v>
      </c>
      <c r="G17" s="281">
        <f>ROUND(F17/$F$12,8)</f>
        <v>2.131454E-2</v>
      </c>
      <c r="H17" s="17"/>
      <c r="J17" s="19"/>
    </row>
    <row r="18" spans="1:13" s="18" customFormat="1" ht="15.9" customHeight="1" x14ac:dyDescent="0.25">
      <c r="A18" s="229"/>
      <c r="B18" s="230"/>
      <c r="C18" s="230" t="s">
        <v>6</v>
      </c>
      <c r="D18" s="230"/>
      <c r="E18" s="230"/>
      <c r="F18" s="231"/>
      <c r="G18" s="237"/>
      <c r="H18" s="17"/>
    </row>
    <row r="19" spans="1:13" s="18" customFormat="1" ht="15.9" customHeight="1" x14ac:dyDescent="0.25">
      <c r="A19" s="229"/>
      <c r="B19" s="230"/>
      <c r="C19" s="230"/>
      <c r="D19" s="230"/>
      <c r="E19" s="230"/>
      <c r="F19" s="231"/>
      <c r="G19" s="237"/>
      <c r="H19" s="17"/>
    </row>
    <row r="20" spans="1:13" s="18" customFormat="1" ht="15.9" customHeight="1" x14ac:dyDescent="0.25">
      <c r="A20" s="229"/>
      <c r="B20" s="230" t="s">
        <v>7</v>
      </c>
      <c r="C20" s="230" t="s">
        <v>8</v>
      </c>
      <c r="D20" s="230"/>
      <c r="E20" s="230"/>
      <c r="F20" s="236">
        <f>+'GG VARIABLE'!G123</f>
        <v>377703.31</v>
      </c>
      <c r="G20" s="281">
        <f>ROUND(F20/$F$12,8)</f>
        <v>0.18002703</v>
      </c>
      <c r="H20" s="17"/>
    </row>
    <row r="21" spans="1:13" s="18" customFormat="1" ht="15.9" customHeight="1" x14ac:dyDescent="0.25">
      <c r="A21" s="229"/>
      <c r="B21" s="230"/>
      <c r="C21" s="230" t="s">
        <v>9</v>
      </c>
      <c r="D21" s="230"/>
      <c r="E21" s="230"/>
      <c r="F21" s="231"/>
      <c r="G21" s="238"/>
      <c r="H21" s="17"/>
      <c r="I21" s="433"/>
      <c r="K21" s="205"/>
      <c r="L21" s="228"/>
    </row>
    <row r="22" spans="1:13" s="18" customFormat="1" ht="9.9" customHeight="1" x14ac:dyDescent="0.25">
      <c r="A22" s="229"/>
      <c r="B22" s="230"/>
      <c r="C22" s="230"/>
      <c r="D22" s="230"/>
      <c r="E22" s="230"/>
      <c r="F22" s="231"/>
      <c r="G22" s="238"/>
      <c r="H22" s="17"/>
      <c r="I22" s="433"/>
    </row>
    <row r="23" spans="1:13" s="10" customFormat="1" ht="15.75" customHeight="1" x14ac:dyDescent="0.3">
      <c r="A23" s="4"/>
      <c r="B23" s="6"/>
      <c r="C23" s="6"/>
      <c r="D23" s="6"/>
      <c r="E23" s="6"/>
      <c r="F23" s="296"/>
      <c r="G23" s="295"/>
      <c r="H23" s="9"/>
      <c r="I23" s="433"/>
    </row>
    <row r="24" spans="1:13" s="10" customFormat="1" ht="15.75" customHeight="1" x14ac:dyDescent="0.3">
      <c r="A24" s="198"/>
      <c r="B24" s="199" t="s">
        <v>12</v>
      </c>
      <c r="C24" s="199" t="s">
        <v>10</v>
      </c>
      <c r="D24" s="199"/>
      <c r="E24" s="199"/>
      <c r="F24" s="200">
        <f>F20+F17</f>
        <v>422422</v>
      </c>
      <c r="G24" s="297">
        <f>ROUND(F24/F12,8)</f>
        <v>0.20134157</v>
      </c>
      <c r="H24" s="22"/>
      <c r="I24" s="433"/>
      <c r="J24" s="203"/>
      <c r="K24" s="205"/>
      <c r="L24" s="228"/>
      <c r="M24" s="204"/>
    </row>
    <row r="25" spans="1:13" s="10" customFormat="1" ht="9.9" customHeight="1" x14ac:dyDescent="0.25">
      <c r="A25" s="12"/>
      <c r="B25" s="13"/>
      <c r="C25" s="13"/>
      <c r="D25" s="13"/>
      <c r="E25" s="13"/>
      <c r="F25" s="21"/>
      <c r="G25" s="202"/>
      <c r="H25" s="9"/>
      <c r="I25" s="9"/>
      <c r="M25" s="204"/>
    </row>
    <row r="26" spans="1:13" s="10" customFormat="1" ht="15.75" customHeight="1" x14ac:dyDescent="0.3">
      <c r="A26" s="198"/>
      <c r="B26" s="199" t="s">
        <v>220</v>
      </c>
      <c r="C26" s="199" t="s">
        <v>11</v>
      </c>
      <c r="D26" s="199"/>
      <c r="E26" s="199"/>
      <c r="F26" s="20">
        <f>F12*G26</f>
        <v>209803.6688260379</v>
      </c>
      <c r="G26" s="294">
        <v>0.1</v>
      </c>
      <c r="H26" s="22"/>
      <c r="I26" s="22"/>
      <c r="J26" s="203"/>
      <c r="K26" s="205"/>
      <c r="L26" s="201"/>
      <c r="M26" s="204"/>
    </row>
    <row r="27" spans="1:13" s="18" customFormat="1" ht="9.9" customHeight="1" x14ac:dyDescent="0.3">
      <c r="A27" s="4"/>
      <c r="B27" s="6"/>
      <c r="C27" s="6"/>
      <c r="D27" s="6"/>
      <c r="E27" s="6"/>
      <c r="F27" s="23"/>
      <c r="G27" s="8"/>
      <c r="H27" s="17"/>
      <c r="I27" s="17"/>
    </row>
    <row r="28" spans="1:13" s="18" customFormat="1" ht="15.9" customHeight="1" x14ac:dyDescent="0.3">
      <c r="A28" s="198"/>
      <c r="B28" s="199" t="s">
        <v>221</v>
      </c>
      <c r="C28" s="199" t="s">
        <v>82</v>
      </c>
      <c r="D28" s="199"/>
      <c r="E28" s="199"/>
      <c r="F28" s="200">
        <f>ROUND(+F12+F24+F26,2)</f>
        <v>2730262.36</v>
      </c>
      <c r="G28" s="208"/>
      <c r="H28" s="17"/>
      <c r="I28" s="17"/>
      <c r="J28" s="201"/>
      <c r="L28" s="206"/>
    </row>
    <row r="29" spans="1:13" s="18" customFormat="1" ht="9.9" customHeight="1" x14ac:dyDescent="0.25">
      <c r="A29" s="24"/>
      <c r="B29" s="13"/>
      <c r="C29" s="13"/>
      <c r="D29" s="13"/>
      <c r="E29" s="13"/>
      <c r="F29" s="21"/>
      <c r="G29" s="15"/>
      <c r="H29" s="17"/>
      <c r="I29" s="17"/>
      <c r="J29" s="201"/>
    </row>
    <row r="30" spans="1:13" s="18" customFormat="1" ht="9.9" customHeight="1" x14ac:dyDescent="0.25">
      <c r="A30" s="229"/>
      <c r="B30" s="230"/>
      <c r="C30" s="230"/>
      <c r="D30" s="230"/>
      <c r="E30" s="230"/>
      <c r="F30" s="239"/>
      <c r="G30" s="232"/>
      <c r="H30" s="17"/>
      <c r="I30" s="17"/>
      <c r="J30" s="201"/>
    </row>
    <row r="31" spans="1:13" s="18" customFormat="1" ht="15.9" customHeight="1" x14ac:dyDescent="0.3">
      <c r="A31" s="233"/>
      <c r="B31" s="442" t="s">
        <v>13</v>
      </c>
      <c r="C31" s="442"/>
      <c r="D31" s="240"/>
      <c r="E31" s="230"/>
      <c r="F31" s="241">
        <f>ROUND(F28*G31,2)</f>
        <v>491447.22</v>
      </c>
      <c r="G31" s="242">
        <v>0.18</v>
      </c>
      <c r="H31" s="17"/>
      <c r="I31" s="17"/>
      <c r="J31" s="201"/>
    </row>
    <row r="32" spans="1:13" s="18" customFormat="1" ht="9.9" customHeight="1" x14ac:dyDescent="0.25">
      <c r="A32" s="229"/>
      <c r="B32" s="230"/>
      <c r="C32" s="230"/>
      <c r="D32" s="230"/>
      <c r="E32" s="230"/>
      <c r="F32" s="239"/>
      <c r="G32" s="242"/>
      <c r="H32" s="17"/>
      <c r="I32" s="17"/>
      <c r="J32" s="201"/>
    </row>
    <row r="33" spans="1:11" s="10" customFormat="1" ht="9.9" customHeight="1" thickBot="1" x14ac:dyDescent="0.35">
      <c r="A33" s="4"/>
      <c r="B33" s="6"/>
      <c r="C33" s="6"/>
      <c r="D33" s="6"/>
      <c r="E33" s="6"/>
      <c r="F33" s="23"/>
      <c r="G33" s="8"/>
      <c r="H33" s="9"/>
      <c r="I33" s="9"/>
      <c r="J33" s="201"/>
    </row>
    <row r="34" spans="1:11" s="10" customFormat="1" ht="15.9" customHeight="1" thickBot="1" x14ac:dyDescent="0.35">
      <c r="A34" s="198"/>
      <c r="B34" s="199" t="s">
        <v>222</v>
      </c>
      <c r="C34" s="199" t="s">
        <v>219</v>
      </c>
      <c r="D34" s="199"/>
      <c r="E34" s="199"/>
      <c r="F34" s="200">
        <f>SUM(F28:F31)</f>
        <v>3221709.58</v>
      </c>
      <c r="G34" s="208"/>
      <c r="H34" s="9"/>
      <c r="I34" s="244"/>
      <c r="J34" s="201"/>
      <c r="K34" s="245"/>
    </row>
    <row r="35" spans="1:11" s="10" customFormat="1" ht="9.9" customHeight="1" x14ac:dyDescent="0.25">
      <c r="A35" s="24"/>
      <c r="B35" s="13"/>
      <c r="C35" s="13"/>
      <c r="D35" s="13"/>
      <c r="E35" s="13"/>
      <c r="F35" s="21"/>
      <c r="G35" s="15"/>
      <c r="H35" s="9"/>
      <c r="I35" s="9"/>
      <c r="J35" s="18"/>
    </row>
    <row r="36" spans="1:11" ht="13.8" x14ac:dyDescent="0.25">
      <c r="A36" s="25"/>
      <c r="B36" s="26"/>
      <c r="C36" s="26"/>
      <c r="D36" s="26"/>
      <c r="E36" s="26"/>
      <c r="F36" s="27"/>
      <c r="G36" s="28"/>
      <c r="H36" s="29"/>
      <c r="I36" s="29"/>
      <c r="J36" s="18"/>
    </row>
    <row r="37" spans="1:11" ht="12" hidden="1" customHeight="1" x14ac:dyDescent="0.3">
      <c r="A37" s="4"/>
      <c r="B37" s="6"/>
      <c r="C37" s="6"/>
      <c r="D37" s="6"/>
      <c r="E37" s="6"/>
      <c r="F37" s="23"/>
      <c r="G37" s="8"/>
      <c r="H37" s="29"/>
      <c r="I37" s="29"/>
      <c r="J37" s="18"/>
    </row>
    <row r="38" spans="1:11" ht="15.9" hidden="1" customHeight="1" x14ac:dyDescent="0.3">
      <c r="A38" s="198"/>
      <c r="B38" s="199"/>
      <c r="C38" s="199" t="s">
        <v>217</v>
      </c>
      <c r="D38" s="207"/>
      <c r="E38" s="207"/>
      <c r="F38" s="200">
        <v>41303137.799999997</v>
      </c>
      <c r="G38" s="208">
        <f>+F38/F38</f>
        <v>1</v>
      </c>
      <c r="H38" s="29"/>
      <c r="I38" s="29"/>
      <c r="J38" s="201">
        <f>+F38*1.5</f>
        <v>61954706.699999996</v>
      </c>
    </row>
    <row r="39" spans="1:11" ht="12" hidden="1" customHeight="1" x14ac:dyDescent="0.25">
      <c r="A39" s="24"/>
      <c r="B39" s="13"/>
      <c r="C39" s="13"/>
      <c r="D39" s="13"/>
      <c r="E39" s="13"/>
      <c r="F39" s="31"/>
      <c r="G39" s="15"/>
      <c r="H39" s="29"/>
      <c r="I39" s="29"/>
    </row>
    <row r="40" spans="1:11" ht="13.8" hidden="1" x14ac:dyDescent="0.25">
      <c r="A40" s="32"/>
      <c r="B40" s="16"/>
      <c r="C40" s="16"/>
      <c r="D40" s="16"/>
      <c r="E40" s="16"/>
      <c r="F40" s="33"/>
      <c r="G40" s="33"/>
      <c r="H40" s="29"/>
      <c r="I40" s="29"/>
    </row>
    <row r="41" spans="1:11" ht="15" hidden="1" x14ac:dyDescent="0.25">
      <c r="F41" s="201">
        <v>97037604.290000007</v>
      </c>
      <c r="G41" s="201"/>
      <c r="H41" s="201"/>
      <c r="I41" s="201"/>
      <c r="J41" s="201"/>
    </row>
    <row r="42" spans="1:11" ht="15" hidden="1" x14ac:dyDescent="0.25">
      <c r="F42" s="201"/>
      <c r="G42" s="201"/>
      <c r="H42" s="201"/>
      <c r="I42" s="201"/>
      <c r="J42" s="201"/>
    </row>
    <row r="43" spans="1:11" ht="15" hidden="1" x14ac:dyDescent="0.25">
      <c r="F43" s="256">
        <f>+F41-F34</f>
        <v>93815894.710000008</v>
      </c>
      <c r="G43" s="201"/>
      <c r="H43" s="201"/>
      <c r="I43" s="201"/>
      <c r="J43" s="201"/>
    </row>
  </sheetData>
  <mergeCells count="7">
    <mergeCell ref="A5:G5"/>
    <mergeCell ref="I21:I24"/>
    <mergeCell ref="A9:E10"/>
    <mergeCell ref="F9:G9"/>
    <mergeCell ref="B31:C31"/>
    <mergeCell ref="C7:G7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2C28C-A672-4808-B95D-25B975A0A802}">
  <sheetPr>
    <pageSetUpPr fitToPage="1"/>
  </sheetPr>
  <dimension ref="A4:K25"/>
  <sheetViews>
    <sheetView showGridLines="0" workbookViewId="0">
      <selection activeCell="H13" sqref="H13"/>
    </sheetView>
  </sheetViews>
  <sheetFormatPr baseColWidth="10" defaultRowHeight="14.4" x14ac:dyDescent="0.3"/>
  <cols>
    <col min="1" max="1" width="26.109375" bestFit="1" customWidth="1"/>
    <col min="3" max="3" width="3" customWidth="1"/>
    <col min="4" max="4" width="29.33203125" customWidth="1"/>
    <col min="6" max="6" width="2.88671875" customWidth="1"/>
    <col min="7" max="7" width="23" bestFit="1" customWidth="1"/>
    <col min="9" max="9" width="3.44140625" customWidth="1"/>
    <col min="10" max="10" width="23" bestFit="1" customWidth="1"/>
  </cols>
  <sheetData>
    <row r="4" spans="1:11" x14ac:dyDescent="0.3">
      <c r="A4" s="312" t="s">
        <v>231</v>
      </c>
      <c r="B4" s="333"/>
      <c r="C4" s="333"/>
      <c r="D4" s="312" t="s">
        <v>352</v>
      </c>
      <c r="G4" s="312" t="s">
        <v>353</v>
      </c>
      <c r="H4" s="333"/>
      <c r="I4" s="333"/>
      <c r="J4" s="312" t="s">
        <v>354</v>
      </c>
      <c r="K4" s="333"/>
    </row>
    <row r="5" spans="1:11" x14ac:dyDescent="0.3">
      <c r="A5" s="333"/>
      <c r="B5" s="333"/>
      <c r="C5" s="333"/>
      <c r="G5" s="333"/>
      <c r="H5" s="333"/>
      <c r="I5" s="333"/>
      <c r="J5" s="333"/>
      <c r="K5" s="333"/>
    </row>
    <row r="6" spans="1:11" ht="14.25" customHeight="1" x14ac:dyDescent="0.3">
      <c r="A6" s="334" t="s">
        <v>338</v>
      </c>
      <c r="B6" s="334" t="s">
        <v>339</v>
      </c>
      <c r="C6" s="333"/>
      <c r="D6" s="334" t="s">
        <v>338</v>
      </c>
      <c r="E6" s="334" t="s">
        <v>339</v>
      </c>
      <c r="G6" s="334" t="s">
        <v>338</v>
      </c>
      <c r="H6" s="334" t="s">
        <v>339</v>
      </c>
      <c r="I6" s="333"/>
      <c r="J6" s="334" t="s">
        <v>338</v>
      </c>
      <c r="K6" s="334" t="s">
        <v>339</v>
      </c>
    </row>
    <row r="7" spans="1:11" x14ac:dyDescent="0.3">
      <c r="A7" s="335" t="s">
        <v>340</v>
      </c>
      <c r="B7" s="336">
        <v>47</v>
      </c>
      <c r="C7" s="333"/>
      <c r="D7" s="335" t="s">
        <v>340</v>
      </c>
      <c r="E7" s="336">
        <v>47</v>
      </c>
      <c r="G7" s="335" t="s">
        <v>340</v>
      </c>
      <c r="H7" s="336">
        <v>47</v>
      </c>
      <c r="I7" s="333"/>
      <c r="J7" s="335" t="s">
        <v>340</v>
      </c>
      <c r="K7" s="336">
        <v>47</v>
      </c>
    </row>
    <row r="8" spans="1:11" x14ac:dyDescent="0.3">
      <c r="A8" s="335" t="s">
        <v>341</v>
      </c>
      <c r="B8" s="336">
        <v>2</v>
      </c>
      <c r="C8" s="333"/>
      <c r="D8" s="335" t="s">
        <v>341</v>
      </c>
      <c r="E8" s="336">
        <v>2</v>
      </c>
      <c r="G8" s="335" t="s">
        <v>341</v>
      </c>
      <c r="H8" s="336">
        <v>2</v>
      </c>
      <c r="I8" s="333"/>
      <c r="J8" s="335" t="s">
        <v>341</v>
      </c>
      <c r="K8" s="336">
        <v>2</v>
      </c>
    </row>
    <row r="9" spans="1:11" x14ac:dyDescent="0.3">
      <c r="A9" s="335" t="s">
        <v>342</v>
      </c>
      <c r="B9" s="336">
        <v>1.5</v>
      </c>
      <c r="C9" s="333"/>
      <c r="D9" s="335" t="s">
        <v>342</v>
      </c>
      <c r="E9" s="336">
        <v>1.5</v>
      </c>
      <c r="G9" s="335" t="s">
        <v>342</v>
      </c>
      <c r="H9" s="336">
        <v>1.5</v>
      </c>
      <c r="I9" s="333"/>
      <c r="J9" s="335" t="s">
        <v>342</v>
      </c>
      <c r="K9" s="336">
        <v>1.5</v>
      </c>
    </row>
    <row r="10" spans="1:11" x14ac:dyDescent="0.3">
      <c r="A10" s="335" t="s">
        <v>343</v>
      </c>
      <c r="B10" s="336">
        <v>40</v>
      </c>
      <c r="C10" s="333"/>
      <c r="D10" s="335" t="s">
        <v>343</v>
      </c>
      <c r="E10" s="336">
        <v>40</v>
      </c>
      <c r="G10" s="335" t="s">
        <v>343</v>
      </c>
      <c r="H10" s="336">
        <v>40</v>
      </c>
      <c r="I10" s="333"/>
      <c r="J10" s="335" t="s">
        <v>343</v>
      </c>
      <c r="K10" s="336">
        <v>40</v>
      </c>
    </row>
    <row r="11" spans="1:11" x14ac:dyDescent="0.3">
      <c r="A11" s="335" t="s">
        <v>344</v>
      </c>
      <c r="B11" s="336">
        <v>60</v>
      </c>
      <c r="C11" s="333"/>
      <c r="D11" s="335" t="s">
        <v>344</v>
      </c>
      <c r="E11" s="336">
        <v>60</v>
      </c>
      <c r="G11" s="335" t="s">
        <v>344</v>
      </c>
      <c r="H11" s="336">
        <v>0</v>
      </c>
      <c r="I11" s="333"/>
      <c r="J11" s="335" t="s">
        <v>344</v>
      </c>
      <c r="K11" s="336">
        <v>0</v>
      </c>
    </row>
    <row r="12" spans="1:11" x14ac:dyDescent="0.3">
      <c r="A12" s="335" t="s">
        <v>345</v>
      </c>
      <c r="B12" s="336">
        <v>0</v>
      </c>
      <c r="C12" s="333"/>
      <c r="D12" s="335" t="s">
        <v>345</v>
      </c>
      <c r="E12" s="336">
        <v>0</v>
      </c>
      <c r="G12" s="335" t="s">
        <v>345</v>
      </c>
      <c r="H12" s="336">
        <v>21</v>
      </c>
      <c r="I12" s="333"/>
      <c r="J12" s="335" t="s">
        <v>345</v>
      </c>
      <c r="K12" s="336">
        <v>21</v>
      </c>
    </row>
    <row r="13" spans="1:11" x14ac:dyDescent="0.3">
      <c r="A13" s="335" t="s">
        <v>346</v>
      </c>
      <c r="B13" s="336">
        <v>99.9</v>
      </c>
      <c r="C13" s="333"/>
      <c r="D13" s="335" t="s">
        <v>346</v>
      </c>
      <c r="E13" s="336">
        <v>99.9</v>
      </c>
      <c r="G13" s="335" t="s">
        <v>346</v>
      </c>
      <c r="H13" s="336">
        <v>99.9</v>
      </c>
      <c r="I13" s="333"/>
      <c r="J13" s="335" t="s">
        <v>346</v>
      </c>
      <c r="K13" s="336">
        <v>99.9</v>
      </c>
    </row>
    <row r="14" spans="1:11" x14ac:dyDescent="0.3">
      <c r="A14" s="335" t="s">
        <v>347</v>
      </c>
      <c r="B14" s="336">
        <v>12.2</v>
      </c>
      <c r="C14" s="333"/>
      <c r="D14" s="335" t="s">
        <v>347</v>
      </c>
      <c r="E14" s="336">
        <v>12.2</v>
      </c>
      <c r="G14" s="335" t="s">
        <v>347</v>
      </c>
      <c r="H14" s="336">
        <v>12.2</v>
      </c>
      <c r="I14" s="333"/>
      <c r="J14" s="335" t="s">
        <v>347</v>
      </c>
      <c r="K14" s="336">
        <v>12.2</v>
      </c>
    </row>
    <row r="15" spans="1:11" x14ac:dyDescent="0.3">
      <c r="A15" s="335" t="s">
        <v>348</v>
      </c>
      <c r="B15" s="336">
        <v>5.5</v>
      </c>
      <c r="C15" s="333"/>
      <c r="D15" s="335" t="s">
        <v>348</v>
      </c>
      <c r="E15" s="336">
        <v>5.5</v>
      </c>
      <c r="G15" s="335" t="s">
        <v>348</v>
      </c>
      <c r="H15" s="336">
        <v>5.5</v>
      </c>
      <c r="I15" s="333"/>
      <c r="J15" s="335" t="s">
        <v>348</v>
      </c>
      <c r="K15" s="336">
        <v>5.5</v>
      </c>
    </row>
    <row r="16" spans="1:11" x14ac:dyDescent="0.3">
      <c r="A16" s="335" t="s">
        <v>349</v>
      </c>
      <c r="B16" s="336">
        <v>5.5</v>
      </c>
      <c r="C16" s="333"/>
      <c r="D16" s="335" t="s">
        <v>349</v>
      </c>
      <c r="E16" s="336">
        <v>5.5</v>
      </c>
      <c r="G16" s="335" t="s">
        <v>349</v>
      </c>
      <c r="H16" s="336">
        <v>5.5</v>
      </c>
      <c r="I16" s="333"/>
      <c r="J16" s="335" t="s">
        <v>349</v>
      </c>
      <c r="K16" s="336">
        <v>5.5</v>
      </c>
    </row>
    <row r="17" spans="1:11" x14ac:dyDescent="0.3">
      <c r="A17" s="335" t="s">
        <v>350</v>
      </c>
      <c r="B17" s="336">
        <v>7</v>
      </c>
      <c r="C17" s="333"/>
      <c r="D17" s="335" t="s">
        <v>350</v>
      </c>
      <c r="E17" s="336">
        <v>7</v>
      </c>
      <c r="G17" s="335" t="s">
        <v>350</v>
      </c>
      <c r="H17" s="336">
        <v>7</v>
      </c>
      <c r="I17" s="333"/>
      <c r="J17" s="335" t="s">
        <v>350</v>
      </c>
      <c r="K17" s="336">
        <v>7</v>
      </c>
    </row>
    <row r="18" spans="1:11" x14ac:dyDescent="0.3">
      <c r="A18" s="335" t="s">
        <v>351</v>
      </c>
      <c r="B18" s="336">
        <v>66</v>
      </c>
      <c r="C18" s="333"/>
      <c r="D18" s="335" t="s">
        <v>351</v>
      </c>
      <c r="E18" s="336">
        <v>66</v>
      </c>
      <c r="G18" s="335" t="s">
        <v>351</v>
      </c>
      <c r="H18" s="336">
        <v>66</v>
      </c>
      <c r="I18" s="333"/>
      <c r="J18" s="335" t="s">
        <v>351</v>
      </c>
      <c r="K18" s="336">
        <v>66</v>
      </c>
    </row>
    <row r="19" spans="1:11" x14ac:dyDescent="0.3">
      <c r="A19" s="333"/>
      <c r="B19" s="337">
        <f>SUM(B7:B18)</f>
        <v>346.6</v>
      </c>
      <c r="C19" s="333"/>
      <c r="D19" s="333"/>
      <c r="E19" s="337">
        <f>SUM(E7:E18)</f>
        <v>346.6</v>
      </c>
      <c r="G19" s="333"/>
      <c r="H19" s="337">
        <f>SUM(H7:H18)</f>
        <v>307.60000000000002</v>
      </c>
      <c r="I19" s="333"/>
      <c r="J19" s="333"/>
      <c r="K19" s="337">
        <f>SUM(K7:K18)</f>
        <v>307.60000000000002</v>
      </c>
    </row>
    <row r="20" spans="1:11" x14ac:dyDescent="0.3">
      <c r="A20" s="345" t="s">
        <v>355</v>
      </c>
      <c r="B20" s="344"/>
      <c r="C20" s="339"/>
      <c r="G20" s="338"/>
      <c r="H20" s="344"/>
      <c r="I20" s="339"/>
      <c r="J20" s="338"/>
      <c r="K20" s="344"/>
    </row>
    <row r="21" spans="1:11" x14ac:dyDescent="0.3">
      <c r="B21" s="340"/>
      <c r="C21" s="345"/>
      <c r="G21" s="346"/>
      <c r="H21" s="340"/>
      <c r="I21" s="345"/>
      <c r="J21" s="346"/>
      <c r="K21" s="340"/>
    </row>
    <row r="22" spans="1:11" x14ac:dyDescent="0.3">
      <c r="B22" s="341"/>
      <c r="C22" s="339"/>
      <c r="G22" s="338"/>
      <c r="H22" s="341"/>
      <c r="I22" s="339"/>
      <c r="J22" s="338"/>
      <c r="K22" s="341"/>
    </row>
    <row r="23" spans="1:11" x14ac:dyDescent="0.3">
      <c r="B23" s="339"/>
      <c r="C23" s="339"/>
      <c r="G23" s="339"/>
      <c r="H23" s="339"/>
      <c r="I23" s="339"/>
      <c r="J23" s="339"/>
      <c r="K23" s="339"/>
    </row>
    <row r="24" spans="1:11" x14ac:dyDescent="0.3">
      <c r="A24" s="339"/>
      <c r="B24" s="342"/>
      <c r="C24" s="342"/>
      <c r="G24" s="342"/>
      <c r="H24" s="342"/>
      <c r="I24" s="342"/>
      <c r="J24" s="342"/>
      <c r="K24" s="342"/>
    </row>
    <row r="25" spans="1:11" x14ac:dyDescent="0.3">
      <c r="A25" s="343"/>
      <c r="B25" s="343"/>
      <c r="C25" s="343"/>
      <c r="G25" s="343"/>
      <c r="H25" s="343"/>
      <c r="I25" s="343"/>
      <c r="J25" s="343"/>
      <c r="K25" s="343"/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scale="9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3"/>
  <sheetViews>
    <sheetView showGridLines="0" view="pageBreakPreview" zoomScaleNormal="115" zoomScaleSheetLayoutView="100" workbookViewId="0">
      <selection activeCell="H13" sqref="H13"/>
    </sheetView>
  </sheetViews>
  <sheetFormatPr baseColWidth="10" defaultRowHeight="10.199999999999999" x14ac:dyDescent="0.2"/>
  <cols>
    <col min="1" max="1" width="8.44140625" style="42" customWidth="1"/>
    <col min="2" max="2" width="41" style="42" customWidth="1"/>
    <col min="3" max="3" width="8.6640625" style="42" customWidth="1"/>
    <col min="4" max="4" width="12" style="42" customWidth="1"/>
    <col min="5" max="5" width="8.6640625" style="42" customWidth="1"/>
    <col min="6" max="7" width="14.6640625" style="42" customWidth="1"/>
    <col min="8" max="8" width="11.44140625" style="42"/>
    <col min="9" max="9" width="0" style="42" hidden="1" customWidth="1"/>
    <col min="10" max="256" width="11.44140625" style="42"/>
    <col min="257" max="257" width="8.44140625" style="42" customWidth="1"/>
    <col min="258" max="258" width="49.88671875" style="42" customWidth="1"/>
    <col min="259" max="259" width="8.6640625" style="42" customWidth="1"/>
    <col min="260" max="260" width="12" style="42" customWidth="1"/>
    <col min="261" max="261" width="8.6640625" style="42" customWidth="1"/>
    <col min="262" max="263" width="14.6640625" style="42" customWidth="1"/>
    <col min="264" max="512" width="11.44140625" style="42"/>
    <col min="513" max="513" width="8.44140625" style="42" customWidth="1"/>
    <col min="514" max="514" width="49.88671875" style="42" customWidth="1"/>
    <col min="515" max="515" width="8.6640625" style="42" customWidth="1"/>
    <col min="516" max="516" width="12" style="42" customWidth="1"/>
    <col min="517" max="517" width="8.6640625" style="42" customWidth="1"/>
    <col min="518" max="519" width="14.6640625" style="42" customWidth="1"/>
    <col min="520" max="768" width="11.44140625" style="42"/>
    <col min="769" max="769" width="8.44140625" style="42" customWidth="1"/>
    <col min="770" max="770" width="49.88671875" style="42" customWidth="1"/>
    <col min="771" max="771" width="8.6640625" style="42" customWidth="1"/>
    <col min="772" max="772" width="12" style="42" customWidth="1"/>
    <col min="773" max="773" width="8.6640625" style="42" customWidth="1"/>
    <col min="774" max="775" width="14.6640625" style="42" customWidth="1"/>
    <col min="776" max="1024" width="11.44140625" style="42"/>
    <col min="1025" max="1025" width="8.44140625" style="42" customWidth="1"/>
    <col min="1026" max="1026" width="49.88671875" style="42" customWidth="1"/>
    <col min="1027" max="1027" width="8.6640625" style="42" customWidth="1"/>
    <col min="1028" max="1028" width="12" style="42" customWidth="1"/>
    <col min="1029" max="1029" width="8.6640625" style="42" customWidth="1"/>
    <col min="1030" max="1031" width="14.6640625" style="42" customWidth="1"/>
    <col min="1032" max="1280" width="11.44140625" style="42"/>
    <col min="1281" max="1281" width="8.44140625" style="42" customWidth="1"/>
    <col min="1282" max="1282" width="49.88671875" style="42" customWidth="1"/>
    <col min="1283" max="1283" width="8.6640625" style="42" customWidth="1"/>
    <col min="1284" max="1284" width="12" style="42" customWidth="1"/>
    <col min="1285" max="1285" width="8.6640625" style="42" customWidth="1"/>
    <col min="1286" max="1287" width="14.6640625" style="42" customWidth="1"/>
    <col min="1288" max="1536" width="11.44140625" style="42"/>
    <col min="1537" max="1537" width="8.44140625" style="42" customWidth="1"/>
    <col min="1538" max="1538" width="49.88671875" style="42" customWidth="1"/>
    <col min="1539" max="1539" width="8.6640625" style="42" customWidth="1"/>
    <col min="1540" max="1540" width="12" style="42" customWidth="1"/>
    <col min="1541" max="1541" width="8.6640625" style="42" customWidth="1"/>
    <col min="1542" max="1543" width="14.6640625" style="42" customWidth="1"/>
    <col min="1544" max="1792" width="11.44140625" style="42"/>
    <col min="1793" max="1793" width="8.44140625" style="42" customWidth="1"/>
    <col min="1794" max="1794" width="49.88671875" style="42" customWidth="1"/>
    <col min="1795" max="1795" width="8.6640625" style="42" customWidth="1"/>
    <col min="1796" max="1796" width="12" style="42" customWidth="1"/>
    <col min="1797" max="1797" width="8.6640625" style="42" customWidth="1"/>
    <col min="1798" max="1799" width="14.6640625" style="42" customWidth="1"/>
    <col min="1800" max="2048" width="11.44140625" style="42"/>
    <col min="2049" max="2049" width="8.44140625" style="42" customWidth="1"/>
    <col min="2050" max="2050" width="49.88671875" style="42" customWidth="1"/>
    <col min="2051" max="2051" width="8.6640625" style="42" customWidth="1"/>
    <col min="2052" max="2052" width="12" style="42" customWidth="1"/>
    <col min="2053" max="2053" width="8.6640625" style="42" customWidth="1"/>
    <col min="2054" max="2055" width="14.6640625" style="42" customWidth="1"/>
    <col min="2056" max="2304" width="11.44140625" style="42"/>
    <col min="2305" max="2305" width="8.44140625" style="42" customWidth="1"/>
    <col min="2306" max="2306" width="49.88671875" style="42" customWidth="1"/>
    <col min="2307" max="2307" width="8.6640625" style="42" customWidth="1"/>
    <col min="2308" max="2308" width="12" style="42" customWidth="1"/>
    <col min="2309" max="2309" width="8.6640625" style="42" customWidth="1"/>
    <col min="2310" max="2311" width="14.6640625" style="42" customWidth="1"/>
    <col min="2312" max="2560" width="11.44140625" style="42"/>
    <col min="2561" max="2561" width="8.44140625" style="42" customWidth="1"/>
    <col min="2562" max="2562" width="49.88671875" style="42" customWidth="1"/>
    <col min="2563" max="2563" width="8.6640625" style="42" customWidth="1"/>
    <col min="2564" max="2564" width="12" style="42" customWidth="1"/>
    <col min="2565" max="2565" width="8.6640625" style="42" customWidth="1"/>
    <col min="2566" max="2567" width="14.6640625" style="42" customWidth="1"/>
    <col min="2568" max="2816" width="11.44140625" style="42"/>
    <col min="2817" max="2817" width="8.44140625" style="42" customWidth="1"/>
    <col min="2818" max="2818" width="49.88671875" style="42" customWidth="1"/>
    <col min="2819" max="2819" width="8.6640625" style="42" customWidth="1"/>
    <col min="2820" max="2820" width="12" style="42" customWidth="1"/>
    <col min="2821" max="2821" width="8.6640625" style="42" customWidth="1"/>
    <col min="2822" max="2823" width="14.6640625" style="42" customWidth="1"/>
    <col min="2824" max="3072" width="11.44140625" style="42"/>
    <col min="3073" max="3073" width="8.44140625" style="42" customWidth="1"/>
    <col min="3074" max="3074" width="49.88671875" style="42" customWidth="1"/>
    <col min="3075" max="3075" width="8.6640625" style="42" customWidth="1"/>
    <col min="3076" max="3076" width="12" style="42" customWidth="1"/>
    <col min="3077" max="3077" width="8.6640625" style="42" customWidth="1"/>
    <col min="3078" max="3079" width="14.6640625" style="42" customWidth="1"/>
    <col min="3080" max="3328" width="11.44140625" style="42"/>
    <col min="3329" max="3329" width="8.44140625" style="42" customWidth="1"/>
    <col min="3330" max="3330" width="49.88671875" style="42" customWidth="1"/>
    <col min="3331" max="3331" width="8.6640625" style="42" customWidth="1"/>
    <col min="3332" max="3332" width="12" style="42" customWidth="1"/>
    <col min="3333" max="3333" width="8.6640625" style="42" customWidth="1"/>
    <col min="3334" max="3335" width="14.6640625" style="42" customWidth="1"/>
    <col min="3336" max="3584" width="11.44140625" style="42"/>
    <col min="3585" max="3585" width="8.44140625" style="42" customWidth="1"/>
    <col min="3586" max="3586" width="49.88671875" style="42" customWidth="1"/>
    <col min="3587" max="3587" width="8.6640625" style="42" customWidth="1"/>
    <col min="3588" max="3588" width="12" style="42" customWidth="1"/>
    <col min="3589" max="3589" width="8.6640625" style="42" customWidth="1"/>
    <col min="3590" max="3591" width="14.6640625" style="42" customWidth="1"/>
    <col min="3592" max="3840" width="11.44140625" style="42"/>
    <col min="3841" max="3841" width="8.44140625" style="42" customWidth="1"/>
    <col min="3842" max="3842" width="49.88671875" style="42" customWidth="1"/>
    <col min="3843" max="3843" width="8.6640625" style="42" customWidth="1"/>
    <col min="3844" max="3844" width="12" style="42" customWidth="1"/>
    <col min="3845" max="3845" width="8.6640625" style="42" customWidth="1"/>
    <col min="3846" max="3847" width="14.6640625" style="42" customWidth="1"/>
    <col min="3848" max="4096" width="11.44140625" style="42"/>
    <col min="4097" max="4097" width="8.44140625" style="42" customWidth="1"/>
    <col min="4098" max="4098" width="49.88671875" style="42" customWidth="1"/>
    <col min="4099" max="4099" width="8.6640625" style="42" customWidth="1"/>
    <col min="4100" max="4100" width="12" style="42" customWidth="1"/>
    <col min="4101" max="4101" width="8.6640625" style="42" customWidth="1"/>
    <col min="4102" max="4103" width="14.6640625" style="42" customWidth="1"/>
    <col min="4104" max="4352" width="11.44140625" style="42"/>
    <col min="4353" max="4353" width="8.44140625" style="42" customWidth="1"/>
    <col min="4354" max="4354" width="49.88671875" style="42" customWidth="1"/>
    <col min="4355" max="4355" width="8.6640625" style="42" customWidth="1"/>
    <col min="4356" max="4356" width="12" style="42" customWidth="1"/>
    <col min="4357" max="4357" width="8.6640625" style="42" customWidth="1"/>
    <col min="4358" max="4359" width="14.6640625" style="42" customWidth="1"/>
    <col min="4360" max="4608" width="11.44140625" style="42"/>
    <col min="4609" max="4609" width="8.44140625" style="42" customWidth="1"/>
    <col min="4610" max="4610" width="49.88671875" style="42" customWidth="1"/>
    <col min="4611" max="4611" width="8.6640625" style="42" customWidth="1"/>
    <col min="4612" max="4612" width="12" style="42" customWidth="1"/>
    <col min="4613" max="4613" width="8.6640625" style="42" customWidth="1"/>
    <col min="4614" max="4615" width="14.6640625" style="42" customWidth="1"/>
    <col min="4616" max="4864" width="11.44140625" style="42"/>
    <col min="4865" max="4865" width="8.44140625" style="42" customWidth="1"/>
    <col min="4866" max="4866" width="49.88671875" style="42" customWidth="1"/>
    <col min="4867" max="4867" width="8.6640625" style="42" customWidth="1"/>
    <col min="4868" max="4868" width="12" style="42" customWidth="1"/>
    <col min="4869" max="4869" width="8.6640625" style="42" customWidth="1"/>
    <col min="4870" max="4871" width="14.6640625" style="42" customWidth="1"/>
    <col min="4872" max="5120" width="11.44140625" style="42"/>
    <col min="5121" max="5121" width="8.44140625" style="42" customWidth="1"/>
    <col min="5122" max="5122" width="49.88671875" style="42" customWidth="1"/>
    <col min="5123" max="5123" width="8.6640625" style="42" customWidth="1"/>
    <col min="5124" max="5124" width="12" style="42" customWidth="1"/>
    <col min="5125" max="5125" width="8.6640625" style="42" customWidth="1"/>
    <col min="5126" max="5127" width="14.6640625" style="42" customWidth="1"/>
    <col min="5128" max="5376" width="11.44140625" style="42"/>
    <col min="5377" max="5377" width="8.44140625" style="42" customWidth="1"/>
    <col min="5378" max="5378" width="49.88671875" style="42" customWidth="1"/>
    <col min="5379" max="5379" width="8.6640625" style="42" customWidth="1"/>
    <col min="5380" max="5380" width="12" style="42" customWidth="1"/>
    <col min="5381" max="5381" width="8.6640625" style="42" customWidth="1"/>
    <col min="5382" max="5383" width="14.6640625" style="42" customWidth="1"/>
    <col min="5384" max="5632" width="11.44140625" style="42"/>
    <col min="5633" max="5633" width="8.44140625" style="42" customWidth="1"/>
    <col min="5634" max="5634" width="49.88671875" style="42" customWidth="1"/>
    <col min="5635" max="5635" width="8.6640625" style="42" customWidth="1"/>
    <col min="5636" max="5636" width="12" style="42" customWidth="1"/>
    <col min="5637" max="5637" width="8.6640625" style="42" customWidth="1"/>
    <col min="5638" max="5639" width="14.6640625" style="42" customWidth="1"/>
    <col min="5640" max="5888" width="11.44140625" style="42"/>
    <col min="5889" max="5889" width="8.44140625" style="42" customWidth="1"/>
    <col min="5890" max="5890" width="49.88671875" style="42" customWidth="1"/>
    <col min="5891" max="5891" width="8.6640625" style="42" customWidth="1"/>
    <col min="5892" max="5892" width="12" style="42" customWidth="1"/>
    <col min="5893" max="5893" width="8.6640625" style="42" customWidth="1"/>
    <col min="5894" max="5895" width="14.6640625" style="42" customWidth="1"/>
    <col min="5896" max="6144" width="11.44140625" style="42"/>
    <col min="6145" max="6145" width="8.44140625" style="42" customWidth="1"/>
    <col min="6146" max="6146" width="49.88671875" style="42" customWidth="1"/>
    <col min="6147" max="6147" width="8.6640625" style="42" customWidth="1"/>
    <col min="6148" max="6148" width="12" style="42" customWidth="1"/>
    <col min="6149" max="6149" width="8.6640625" style="42" customWidth="1"/>
    <col min="6150" max="6151" width="14.6640625" style="42" customWidth="1"/>
    <col min="6152" max="6400" width="11.44140625" style="42"/>
    <col min="6401" max="6401" width="8.44140625" style="42" customWidth="1"/>
    <col min="6402" max="6402" width="49.88671875" style="42" customWidth="1"/>
    <col min="6403" max="6403" width="8.6640625" style="42" customWidth="1"/>
    <col min="6404" max="6404" width="12" style="42" customWidth="1"/>
    <col min="6405" max="6405" width="8.6640625" style="42" customWidth="1"/>
    <col min="6406" max="6407" width="14.6640625" style="42" customWidth="1"/>
    <col min="6408" max="6656" width="11.44140625" style="42"/>
    <col min="6657" max="6657" width="8.44140625" style="42" customWidth="1"/>
    <col min="6658" max="6658" width="49.88671875" style="42" customWidth="1"/>
    <col min="6659" max="6659" width="8.6640625" style="42" customWidth="1"/>
    <col min="6660" max="6660" width="12" style="42" customWidth="1"/>
    <col min="6661" max="6661" width="8.6640625" style="42" customWidth="1"/>
    <col min="6662" max="6663" width="14.6640625" style="42" customWidth="1"/>
    <col min="6664" max="6912" width="11.44140625" style="42"/>
    <col min="6913" max="6913" width="8.44140625" style="42" customWidth="1"/>
    <col min="6914" max="6914" width="49.88671875" style="42" customWidth="1"/>
    <col min="6915" max="6915" width="8.6640625" style="42" customWidth="1"/>
    <col min="6916" max="6916" width="12" style="42" customWidth="1"/>
    <col min="6917" max="6917" width="8.6640625" style="42" customWidth="1"/>
    <col min="6918" max="6919" width="14.6640625" style="42" customWidth="1"/>
    <col min="6920" max="7168" width="11.44140625" style="42"/>
    <col min="7169" max="7169" width="8.44140625" style="42" customWidth="1"/>
    <col min="7170" max="7170" width="49.88671875" style="42" customWidth="1"/>
    <col min="7171" max="7171" width="8.6640625" style="42" customWidth="1"/>
    <col min="7172" max="7172" width="12" style="42" customWidth="1"/>
    <col min="7173" max="7173" width="8.6640625" style="42" customWidth="1"/>
    <col min="7174" max="7175" width="14.6640625" style="42" customWidth="1"/>
    <col min="7176" max="7424" width="11.44140625" style="42"/>
    <col min="7425" max="7425" width="8.44140625" style="42" customWidth="1"/>
    <col min="7426" max="7426" width="49.88671875" style="42" customWidth="1"/>
    <col min="7427" max="7427" width="8.6640625" style="42" customWidth="1"/>
    <col min="7428" max="7428" width="12" style="42" customWidth="1"/>
    <col min="7429" max="7429" width="8.6640625" style="42" customWidth="1"/>
    <col min="7430" max="7431" width="14.6640625" style="42" customWidth="1"/>
    <col min="7432" max="7680" width="11.44140625" style="42"/>
    <col min="7681" max="7681" width="8.44140625" style="42" customWidth="1"/>
    <col min="7682" max="7682" width="49.88671875" style="42" customWidth="1"/>
    <col min="7683" max="7683" width="8.6640625" style="42" customWidth="1"/>
    <col min="7684" max="7684" width="12" style="42" customWidth="1"/>
    <col min="7685" max="7685" width="8.6640625" style="42" customWidth="1"/>
    <col min="7686" max="7687" width="14.6640625" style="42" customWidth="1"/>
    <col min="7688" max="7936" width="11.44140625" style="42"/>
    <col min="7937" max="7937" width="8.44140625" style="42" customWidth="1"/>
    <col min="7938" max="7938" width="49.88671875" style="42" customWidth="1"/>
    <col min="7939" max="7939" width="8.6640625" style="42" customWidth="1"/>
    <col min="7940" max="7940" width="12" style="42" customWidth="1"/>
    <col min="7941" max="7941" width="8.6640625" style="42" customWidth="1"/>
    <col min="7942" max="7943" width="14.6640625" style="42" customWidth="1"/>
    <col min="7944" max="8192" width="11.44140625" style="42"/>
    <col min="8193" max="8193" width="8.44140625" style="42" customWidth="1"/>
    <col min="8194" max="8194" width="49.88671875" style="42" customWidth="1"/>
    <col min="8195" max="8195" width="8.6640625" style="42" customWidth="1"/>
    <col min="8196" max="8196" width="12" style="42" customWidth="1"/>
    <col min="8197" max="8197" width="8.6640625" style="42" customWidth="1"/>
    <col min="8198" max="8199" width="14.6640625" style="42" customWidth="1"/>
    <col min="8200" max="8448" width="11.44140625" style="42"/>
    <col min="8449" max="8449" width="8.44140625" style="42" customWidth="1"/>
    <col min="8450" max="8450" width="49.88671875" style="42" customWidth="1"/>
    <col min="8451" max="8451" width="8.6640625" style="42" customWidth="1"/>
    <col min="8452" max="8452" width="12" style="42" customWidth="1"/>
    <col min="8453" max="8453" width="8.6640625" style="42" customWidth="1"/>
    <col min="8454" max="8455" width="14.6640625" style="42" customWidth="1"/>
    <col min="8456" max="8704" width="11.44140625" style="42"/>
    <col min="8705" max="8705" width="8.44140625" style="42" customWidth="1"/>
    <col min="8706" max="8706" width="49.88671875" style="42" customWidth="1"/>
    <col min="8707" max="8707" width="8.6640625" style="42" customWidth="1"/>
    <col min="8708" max="8708" width="12" style="42" customWidth="1"/>
    <col min="8709" max="8709" width="8.6640625" style="42" customWidth="1"/>
    <col min="8710" max="8711" width="14.6640625" style="42" customWidth="1"/>
    <col min="8712" max="8960" width="11.44140625" style="42"/>
    <col min="8961" max="8961" width="8.44140625" style="42" customWidth="1"/>
    <col min="8962" max="8962" width="49.88671875" style="42" customWidth="1"/>
    <col min="8963" max="8963" width="8.6640625" style="42" customWidth="1"/>
    <col min="8964" max="8964" width="12" style="42" customWidth="1"/>
    <col min="8965" max="8965" width="8.6640625" style="42" customWidth="1"/>
    <col min="8966" max="8967" width="14.6640625" style="42" customWidth="1"/>
    <col min="8968" max="9216" width="11.44140625" style="42"/>
    <col min="9217" max="9217" width="8.44140625" style="42" customWidth="1"/>
    <col min="9218" max="9218" width="49.88671875" style="42" customWidth="1"/>
    <col min="9219" max="9219" width="8.6640625" style="42" customWidth="1"/>
    <col min="9220" max="9220" width="12" style="42" customWidth="1"/>
    <col min="9221" max="9221" width="8.6640625" style="42" customWidth="1"/>
    <col min="9222" max="9223" width="14.6640625" style="42" customWidth="1"/>
    <col min="9224" max="9472" width="11.44140625" style="42"/>
    <col min="9473" max="9473" width="8.44140625" style="42" customWidth="1"/>
    <col min="9474" max="9474" width="49.88671875" style="42" customWidth="1"/>
    <col min="9475" max="9475" width="8.6640625" style="42" customWidth="1"/>
    <col min="9476" max="9476" width="12" style="42" customWidth="1"/>
    <col min="9477" max="9477" width="8.6640625" style="42" customWidth="1"/>
    <col min="9478" max="9479" width="14.6640625" style="42" customWidth="1"/>
    <col min="9480" max="9728" width="11.44140625" style="42"/>
    <col min="9729" max="9729" width="8.44140625" style="42" customWidth="1"/>
    <col min="9730" max="9730" width="49.88671875" style="42" customWidth="1"/>
    <col min="9731" max="9731" width="8.6640625" style="42" customWidth="1"/>
    <col min="9732" max="9732" width="12" style="42" customWidth="1"/>
    <col min="9733" max="9733" width="8.6640625" style="42" customWidth="1"/>
    <col min="9734" max="9735" width="14.6640625" style="42" customWidth="1"/>
    <col min="9736" max="9984" width="11.44140625" style="42"/>
    <col min="9985" max="9985" width="8.44140625" style="42" customWidth="1"/>
    <col min="9986" max="9986" width="49.88671875" style="42" customWidth="1"/>
    <col min="9987" max="9987" width="8.6640625" style="42" customWidth="1"/>
    <col min="9988" max="9988" width="12" style="42" customWidth="1"/>
    <col min="9989" max="9989" width="8.6640625" style="42" customWidth="1"/>
    <col min="9990" max="9991" width="14.6640625" style="42" customWidth="1"/>
    <col min="9992" max="10240" width="11.44140625" style="42"/>
    <col min="10241" max="10241" width="8.44140625" style="42" customWidth="1"/>
    <col min="10242" max="10242" width="49.88671875" style="42" customWidth="1"/>
    <col min="10243" max="10243" width="8.6640625" style="42" customWidth="1"/>
    <col min="10244" max="10244" width="12" style="42" customWidth="1"/>
    <col min="10245" max="10245" width="8.6640625" style="42" customWidth="1"/>
    <col min="10246" max="10247" width="14.6640625" style="42" customWidth="1"/>
    <col min="10248" max="10496" width="11.44140625" style="42"/>
    <col min="10497" max="10497" width="8.44140625" style="42" customWidth="1"/>
    <col min="10498" max="10498" width="49.88671875" style="42" customWidth="1"/>
    <col min="10499" max="10499" width="8.6640625" style="42" customWidth="1"/>
    <col min="10500" max="10500" width="12" style="42" customWidth="1"/>
    <col min="10501" max="10501" width="8.6640625" style="42" customWidth="1"/>
    <col min="10502" max="10503" width="14.6640625" style="42" customWidth="1"/>
    <col min="10504" max="10752" width="11.44140625" style="42"/>
    <col min="10753" max="10753" width="8.44140625" style="42" customWidth="1"/>
    <col min="10754" max="10754" width="49.88671875" style="42" customWidth="1"/>
    <col min="10755" max="10755" width="8.6640625" style="42" customWidth="1"/>
    <col min="10756" max="10756" width="12" style="42" customWidth="1"/>
    <col min="10757" max="10757" width="8.6640625" style="42" customWidth="1"/>
    <col min="10758" max="10759" width="14.6640625" style="42" customWidth="1"/>
    <col min="10760" max="11008" width="11.44140625" style="42"/>
    <col min="11009" max="11009" width="8.44140625" style="42" customWidth="1"/>
    <col min="11010" max="11010" width="49.88671875" style="42" customWidth="1"/>
    <col min="11011" max="11011" width="8.6640625" style="42" customWidth="1"/>
    <col min="11012" max="11012" width="12" style="42" customWidth="1"/>
    <col min="11013" max="11013" width="8.6640625" style="42" customWidth="1"/>
    <col min="11014" max="11015" width="14.6640625" style="42" customWidth="1"/>
    <col min="11016" max="11264" width="11.44140625" style="42"/>
    <col min="11265" max="11265" width="8.44140625" style="42" customWidth="1"/>
    <col min="11266" max="11266" width="49.88671875" style="42" customWidth="1"/>
    <col min="11267" max="11267" width="8.6640625" style="42" customWidth="1"/>
    <col min="11268" max="11268" width="12" style="42" customWidth="1"/>
    <col min="11269" max="11269" width="8.6640625" style="42" customWidth="1"/>
    <col min="11270" max="11271" width="14.6640625" style="42" customWidth="1"/>
    <col min="11272" max="11520" width="11.44140625" style="42"/>
    <col min="11521" max="11521" width="8.44140625" style="42" customWidth="1"/>
    <col min="11522" max="11522" width="49.88671875" style="42" customWidth="1"/>
    <col min="11523" max="11523" width="8.6640625" style="42" customWidth="1"/>
    <col min="11524" max="11524" width="12" style="42" customWidth="1"/>
    <col min="11525" max="11525" width="8.6640625" style="42" customWidth="1"/>
    <col min="11526" max="11527" width="14.6640625" style="42" customWidth="1"/>
    <col min="11528" max="11776" width="11.44140625" style="42"/>
    <col min="11777" max="11777" width="8.44140625" style="42" customWidth="1"/>
    <col min="11778" max="11778" width="49.88671875" style="42" customWidth="1"/>
    <col min="11779" max="11779" width="8.6640625" style="42" customWidth="1"/>
    <col min="11780" max="11780" width="12" style="42" customWidth="1"/>
    <col min="11781" max="11781" width="8.6640625" style="42" customWidth="1"/>
    <col min="11782" max="11783" width="14.6640625" style="42" customWidth="1"/>
    <col min="11784" max="12032" width="11.44140625" style="42"/>
    <col min="12033" max="12033" width="8.44140625" style="42" customWidth="1"/>
    <col min="12034" max="12034" width="49.88671875" style="42" customWidth="1"/>
    <col min="12035" max="12035" width="8.6640625" style="42" customWidth="1"/>
    <col min="12036" max="12036" width="12" style="42" customWidth="1"/>
    <col min="12037" max="12037" width="8.6640625" style="42" customWidth="1"/>
    <col min="12038" max="12039" width="14.6640625" style="42" customWidth="1"/>
    <col min="12040" max="12288" width="11.44140625" style="42"/>
    <col min="12289" max="12289" width="8.44140625" style="42" customWidth="1"/>
    <col min="12290" max="12290" width="49.88671875" style="42" customWidth="1"/>
    <col min="12291" max="12291" width="8.6640625" style="42" customWidth="1"/>
    <col min="12292" max="12292" width="12" style="42" customWidth="1"/>
    <col min="12293" max="12293" width="8.6640625" style="42" customWidth="1"/>
    <col min="12294" max="12295" width="14.6640625" style="42" customWidth="1"/>
    <col min="12296" max="12544" width="11.44140625" style="42"/>
    <col min="12545" max="12545" width="8.44140625" style="42" customWidth="1"/>
    <col min="12546" max="12546" width="49.88671875" style="42" customWidth="1"/>
    <col min="12547" max="12547" width="8.6640625" style="42" customWidth="1"/>
    <col min="12548" max="12548" width="12" style="42" customWidth="1"/>
    <col min="12549" max="12549" width="8.6640625" style="42" customWidth="1"/>
    <col min="12550" max="12551" width="14.6640625" style="42" customWidth="1"/>
    <col min="12552" max="12800" width="11.44140625" style="42"/>
    <col min="12801" max="12801" width="8.44140625" style="42" customWidth="1"/>
    <col min="12802" max="12802" width="49.88671875" style="42" customWidth="1"/>
    <col min="12803" max="12803" width="8.6640625" style="42" customWidth="1"/>
    <col min="12804" max="12804" width="12" style="42" customWidth="1"/>
    <col min="12805" max="12805" width="8.6640625" style="42" customWidth="1"/>
    <col min="12806" max="12807" width="14.6640625" style="42" customWidth="1"/>
    <col min="12808" max="13056" width="11.44140625" style="42"/>
    <col min="13057" max="13057" width="8.44140625" style="42" customWidth="1"/>
    <col min="13058" max="13058" width="49.88671875" style="42" customWidth="1"/>
    <col min="13059" max="13059" width="8.6640625" style="42" customWidth="1"/>
    <col min="13060" max="13060" width="12" style="42" customWidth="1"/>
    <col min="13061" max="13061" width="8.6640625" style="42" customWidth="1"/>
    <col min="13062" max="13063" width="14.6640625" style="42" customWidth="1"/>
    <col min="13064" max="13312" width="11.44140625" style="42"/>
    <col min="13313" max="13313" width="8.44140625" style="42" customWidth="1"/>
    <col min="13314" max="13314" width="49.88671875" style="42" customWidth="1"/>
    <col min="13315" max="13315" width="8.6640625" style="42" customWidth="1"/>
    <col min="13316" max="13316" width="12" style="42" customWidth="1"/>
    <col min="13317" max="13317" width="8.6640625" style="42" customWidth="1"/>
    <col min="13318" max="13319" width="14.6640625" style="42" customWidth="1"/>
    <col min="13320" max="13568" width="11.44140625" style="42"/>
    <col min="13569" max="13569" width="8.44140625" style="42" customWidth="1"/>
    <col min="13570" max="13570" width="49.88671875" style="42" customWidth="1"/>
    <col min="13571" max="13571" width="8.6640625" style="42" customWidth="1"/>
    <col min="13572" max="13572" width="12" style="42" customWidth="1"/>
    <col min="13573" max="13573" width="8.6640625" style="42" customWidth="1"/>
    <col min="13574" max="13575" width="14.6640625" style="42" customWidth="1"/>
    <col min="13576" max="13824" width="11.44140625" style="42"/>
    <col min="13825" max="13825" width="8.44140625" style="42" customWidth="1"/>
    <col min="13826" max="13826" width="49.88671875" style="42" customWidth="1"/>
    <col min="13827" max="13827" width="8.6640625" style="42" customWidth="1"/>
    <col min="13828" max="13828" width="12" style="42" customWidth="1"/>
    <col min="13829" max="13829" width="8.6640625" style="42" customWidth="1"/>
    <col min="13830" max="13831" width="14.6640625" style="42" customWidth="1"/>
    <col min="13832" max="14080" width="11.44140625" style="42"/>
    <col min="14081" max="14081" width="8.44140625" style="42" customWidth="1"/>
    <col min="14082" max="14082" width="49.88671875" style="42" customWidth="1"/>
    <col min="14083" max="14083" width="8.6640625" style="42" customWidth="1"/>
    <col min="14084" max="14084" width="12" style="42" customWidth="1"/>
    <col min="14085" max="14085" width="8.6640625" style="42" customWidth="1"/>
    <col min="14086" max="14087" width="14.6640625" style="42" customWidth="1"/>
    <col min="14088" max="14336" width="11.44140625" style="42"/>
    <col min="14337" max="14337" width="8.44140625" style="42" customWidth="1"/>
    <col min="14338" max="14338" width="49.88671875" style="42" customWidth="1"/>
    <col min="14339" max="14339" width="8.6640625" style="42" customWidth="1"/>
    <col min="14340" max="14340" width="12" style="42" customWidth="1"/>
    <col min="14341" max="14341" width="8.6640625" style="42" customWidth="1"/>
    <col min="14342" max="14343" width="14.6640625" style="42" customWidth="1"/>
    <col min="14344" max="14592" width="11.44140625" style="42"/>
    <col min="14593" max="14593" width="8.44140625" style="42" customWidth="1"/>
    <col min="14594" max="14594" width="49.88671875" style="42" customWidth="1"/>
    <col min="14595" max="14595" width="8.6640625" style="42" customWidth="1"/>
    <col min="14596" max="14596" width="12" style="42" customWidth="1"/>
    <col min="14597" max="14597" width="8.6640625" style="42" customWidth="1"/>
    <col min="14598" max="14599" width="14.6640625" style="42" customWidth="1"/>
    <col min="14600" max="14848" width="11.44140625" style="42"/>
    <col min="14849" max="14849" width="8.44140625" style="42" customWidth="1"/>
    <col min="14850" max="14850" width="49.88671875" style="42" customWidth="1"/>
    <col min="14851" max="14851" width="8.6640625" style="42" customWidth="1"/>
    <col min="14852" max="14852" width="12" style="42" customWidth="1"/>
    <col min="14853" max="14853" width="8.6640625" style="42" customWidth="1"/>
    <col min="14854" max="14855" width="14.6640625" style="42" customWidth="1"/>
    <col min="14856" max="15104" width="11.44140625" style="42"/>
    <col min="15105" max="15105" width="8.44140625" style="42" customWidth="1"/>
    <col min="15106" max="15106" width="49.88671875" style="42" customWidth="1"/>
    <col min="15107" max="15107" width="8.6640625" style="42" customWidth="1"/>
    <col min="15108" max="15108" width="12" style="42" customWidth="1"/>
    <col min="15109" max="15109" width="8.6640625" style="42" customWidth="1"/>
    <col min="15110" max="15111" width="14.6640625" style="42" customWidth="1"/>
    <col min="15112" max="15360" width="11.44140625" style="42"/>
    <col min="15361" max="15361" width="8.44140625" style="42" customWidth="1"/>
    <col min="15362" max="15362" width="49.88671875" style="42" customWidth="1"/>
    <col min="15363" max="15363" width="8.6640625" style="42" customWidth="1"/>
    <col min="15364" max="15364" width="12" style="42" customWidth="1"/>
    <col min="15365" max="15365" width="8.6640625" style="42" customWidth="1"/>
    <col min="15366" max="15367" width="14.6640625" style="42" customWidth="1"/>
    <col min="15368" max="15616" width="11.44140625" style="42"/>
    <col min="15617" max="15617" width="8.44140625" style="42" customWidth="1"/>
    <col min="15618" max="15618" width="49.88671875" style="42" customWidth="1"/>
    <col min="15619" max="15619" width="8.6640625" style="42" customWidth="1"/>
    <col min="15620" max="15620" width="12" style="42" customWidth="1"/>
    <col min="15621" max="15621" width="8.6640625" style="42" customWidth="1"/>
    <col min="15622" max="15623" width="14.6640625" style="42" customWidth="1"/>
    <col min="15624" max="15872" width="11.44140625" style="42"/>
    <col min="15873" max="15873" width="8.44140625" style="42" customWidth="1"/>
    <col min="15874" max="15874" width="49.88671875" style="42" customWidth="1"/>
    <col min="15875" max="15875" width="8.6640625" style="42" customWidth="1"/>
    <col min="15876" max="15876" width="12" style="42" customWidth="1"/>
    <col min="15877" max="15877" width="8.6640625" style="42" customWidth="1"/>
    <col min="15878" max="15879" width="14.6640625" style="42" customWidth="1"/>
    <col min="15880" max="16128" width="11.44140625" style="42"/>
    <col min="16129" max="16129" width="8.44140625" style="42" customWidth="1"/>
    <col min="16130" max="16130" width="49.88671875" style="42" customWidth="1"/>
    <col min="16131" max="16131" width="8.6640625" style="42" customWidth="1"/>
    <col min="16132" max="16132" width="12" style="42" customWidth="1"/>
    <col min="16133" max="16133" width="8.6640625" style="42" customWidth="1"/>
    <col min="16134" max="16135" width="14.6640625" style="42" customWidth="1"/>
    <col min="16136" max="16384" width="11.44140625" style="42"/>
  </cols>
  <sheetData>
    <row r="1" spans="1:10" x14ac:dyDescent="0.2">
      <c r="A1" s="406"/>
      <c r="B1" s="407"/>
      <c r="C1" s="407"/>
      <c r="D1" s="407"/>
      <c r="E1" s="407"/>
      <c r="F1" s="407"/>
      <c r="G1" s="408"/>
    </row>
    <row r="2" spans="1:10" s="34" customFormat="1" ht="24" customHeight="1" x14ac:dyDescent="0.2">
      <c r="A2" s="445" t="s">
        <v>14</v>
      </c>
      <c r="B2" s="446"/>
      <c r="C2" s="446"/>
      <c r="D2" s="446"/>
      <c r="E2" s="446"/>
      <c r="F2" s="446"/>
      <c r="G2" s="447"/>
    </row>
    <row r="3" spans="1:10" s="38" customFormat="1" ht="12.9" customHeight="1" x14ac:dyDescent="0.2">
      <c r="A3" s="35"/>
      <c r="B3" s="36"/>
      <c r="C3" s="36"/>
      <c r="D3" s="36"/>
      <c r="E3" s="36"/>
      <c r="F3" s="36"/>
      <c r="G3" s="37"/>
    </row>
    <row r="4" spans="1:10" ht="12.9" customHeight="1" x14ac:dyDescent="0.2">
      <c r="A4" s="39"/>
      <c r="B4" s="40" t="s">
        <v>15</v>
      </c>
      <c r="C4" s="448">
        <v>1.83</v>
      </c>
      <c r="D4" s="448"/>
      <c r="E4" s="41"/>
      <c r="F4" s="36"/>
      <c r="G4" s="37"/>
    </row>
    <row r="5" spans="1:10" ht="12.9" customHeight="1" x14ac:dyDescent="0.2">
      <c r="A5" s="39"/>
      <c r="B5" s="40" t="s">
        <v>307</v>
      </c>
      <c r="C5" s="43"/>
      <c r="D5" s="213">
        <f>+'GASTOS GENERALES'!F12</f>
        <v>2098036.6882603788</v>
      </c>
      <c r="E5" s="41"/>
      <c r="F5" s="36"/>
      <c r="G5" s="37"/>
    </row>
    <row r="6" spans="1:10" s="44" customFormat="1" ht="12.9" customHeight="1" x14ac:dyDescent="0.3">
      <c r="A6" s="449" t="s">
        <v>16</v>
      </c>
      <c r="B6" s="449" t="s">
        <v>17</v>
      </c>
      <c r="C6" s="449" t="s">
        <v>18</v>
      </c>
      <c r="D6" s="209" t="s">
        <v>19</v>
      </c>
      <c r="E6" s="210"/>
      <c r="F6" s="211" t="s">
        <v>20</v>
      </c>
      <c r="G6" s="211" t="s">
        <v>21</v>
      </c>
      <c r="I6" s="44">
        <v>3.84</v>
      </c>
    </row>
    <row r="7" spans="1:10" s="44" customFormat="1" ht="12.9" customHeight="1" x14ac:dyDescent="0.3">
      <c r="A7" s="450"/>
      <c r="B7" s="450"/>
      <c r="C7" s="450"/>
      <c r="D7" s="212" t="s">
        <v>22</v>
      </c>
      <c r="E7" s="212" t="s">
        <v>23</v>
      </c>
      <c r="F7" s="212" t="s">
        <v>427</v>
      </c>
      <c r="G7" s="212" t="s">
        <v>427</v>
      </c>
    </row>
    <row r="8" spans="1:10" ht="12.9" customHeight="1" x14ac:dyDescent="0.2">
      <c r="A8" s="45"/>
      <c r="B8" s="46"/>
      <c r="C8" s="47"/>
      <c r="D8" s="48"/>
      <c r="E8" s="49"/>
      <c r="F8" s="49"/>
      <c r="G8" s="50"/>
    </row>
    <row r="9" spans="1:10" ht="12.9" customHeight="1" x14ac:dyDescent="0.2">
      <c r="A9" s="192" t="s">
        <v>24</v>
      </c>
      <c r="B9" s="193" t="s">
        <v>25</v>
      </c>
      <c r="C9" s="51"/>
      <c r="D9" s="51"/>
      <c r="E9" s="51"/>
      <c r="F9" s="51"/>
      <c r="G9" s="52"/>
    </row>
    <row r="10" spans="1:10" s="57" customFormat="1" ht="12.9" customHeight="1" x14ac:dyDescent="0.2">
      <c r="A10" s="392" t="s">
        <v>26</v>
      </c>
      <c r="B10" s="393" t="s">
        <v>27</v>
      </c>
      <c r="C10" s="394" t="s">
        <v>298</v>
      </c>
      <c r="D10" s="395">
        <v>2</v>
      </c>
      <c r="E10" s="395">
        <f>+C4</f>
        <v>1.83</v>
      </c>
      <c r="F10" s="395">
        <f>450</f>
        <v>450</v>
      </c>
      <c r="G10" s="395">
        <f>ROUND(F10*E10,2)</f>
        <v>823.5</v>
      </c>
    </row>
    <row r="11" spans="1:10" s="57" customFormat="1" ht="12.9" customHeight="1" x14ac:dyDescent="0.2">
      <c r="A11" s="392" t="s">
        <v>28</v>
      </c>
      <c r="B11" s="393" t="s">
        <v>303</v>
      </c>
      <c r="C11" s="394" t="s">
        <v>29</v>
      </c>
      <c r="D11" s="395">
        <v>10</v>
      </c>
      <c r="E11" s="395">
        <f>+C4</f>
        <v>1.83</v>
      </c>
      <c r="F11" s="395">
        <f>80</f>
        <v>80</v>
      </c>
      <c r="G11" s="395">
        <f>ROUND(F11*E11*D11,2)</f>
        <v>1464</v>
      </c>
      <c r="J11" s="396"/>
    </row>
    <row r="12" spans="1:10" s="57" customFormat="1" ht="12.9" customHeight="1" x14ac:dyDescent="0.2">
      <c r="A12" s="392" t="s">
        <v>30</v>
      </c>
      <c r="B12" s="393" t="s">
        <v>31</v>
      </c>
      <c r="C12" s="394" t="s">
        <v>29</v>
      </c>
      <c r="D12" s="395">
        <v>10</v>
      </c>
      <c r="E12" s="395">
        <f>+C4</f>
        <v>1.83</v>
      </c>
      <c r="F12" s="395">
        <f>80</f>
        <v>80</v>
      </c>
      <c r="G12" s="395">
        <f>ROUND(F12*E12*D12,2)</f>
        <v>1464</v>
      </c>
    </row>
    <row r="13" spans="1:10" s="57" customFormat="1" ht="12.9" customHeight="1" x14ac:dyDescent="0.2">
      <c r="A13" s="392" t="s">
        <v>32</v>
      </c>
      <c r="B13" s="393" t="s">
        <v>33</v>
      </c>
      <c r="C13" s="394" t="s">
        <v>29</v>
      </c>
      <c r="D13" s="395">
        <v>10</v>
      </c>
      <c r="E13" s="395">
        <f>+C4</f>
        <v>1.83</v>
      </c>
      <c r="F13" s="395">
        <f>80</f>
        <v>80</v>
      </c>
      <c r="G13" s="395">
        <f>ROUND(F13*E13*D13,2)</f>
        <v>1464</v>
      </c>
    </row>
    <row r="14" spans="1:10" s="57" customFormat="1" ht="12.9" customHeight="1" x14ac:dyDescent="0.2">
      <c r="A14" s="392" t="s">
        <v>34</v>
      </c>
      <c r="B14" s="393" t="s">
        <v>35</v>
      </c>
      <c r="C14" s="394" t="s">
        <v>29</v>
      </c>
      <c r="D14" s="395">
        <v>10</v>
      </c>
      <c r="E14" s="395">
        <f>+C4</f>
        <v>1.83</v>
      </c>
      <c r="F14" s="395">
        <f>80</f>
        <v>80</v>
      </c>
      <c r="G14" s="395">
        <f>ROUND(F14*E14*D14,2)</f>
        <v>1464</v>
      </c>
    </row>
    <row r="15" spans="1:10" ht="12.9" customHeight="1" x14ac:dyDescent="0.2">
      <c r="A15" s="62"/>
      <c r="B15" s="191" t="s">
        <v>243</v>
      </c>
      <c r="C15" s="64"/>
      <c r="D15" s="65"/>
      <c r="E15" s="66"/>
      <c r="F15" s="66"/>
      <c r="G15" s="190">
        <f>SUM(G10:G14)</f>
        <v>6679.5</v>
      </c>
    </row>
    <row r="16" spans="1:10" ht="12.9" customHeight="1" x14ac:dyDescent="0.2">
      <c r="A16" s="67"/>
      <c r="B16" s="51"/>
      <c r="C16" s="68"/>
      <c r="D16" s="69"/>
      <c r="E16" s="70"/>
      <c r="F16" s="70"/>
      <c r="G16" s="71"/>
    </row>
    <row r="17" spans="1:7" ht="12.9" customHeight="1" x14ac:dyDescent="0.2">
      <c r="A17" s="192" t="s">
        <v>37</v>
      </c>
      <c r="B17" s="193" t="s">
        <v>38</v>
      </c>
      <c r="C17" s="51"/>
      <c r="D17" s="51"/>
      <c r="E17" s="51"/>
      <c r="F17" s="51"/>
      <c r="G17" s="52"/>
    </row>
    <row r="18" spans="1:7" ht="12.9" customHeight="1" x14ac:dyDescent="0.2">
      <c r="A18" s="53" t="s">
        <v>39</v>
      </c>
      <c r="B18" s="54" t="str">
        <f>+B10</f>
        <v xml:space="preserve">Almacenes </v>
      </c>
      <c r="C18" s="55" t="s">
        <v>40</v>
      </c>
      <c r="D18" s="56">
        <v>1</v>
      </c>
      <c r="E18" s="56">
        <f>+C4</f>
        <v>1.83</v>
      </c>
      <c r="F18" s="56">
        <v>1500</v>
      </c>
      <c r="G18" s="56">
        <f>ROUND(F18*E18,2)</f>
        <v>2745</v>
      </c>
    </row>
    <row r="19" spans="1:7" ht="12.9" customHeight="1" x14ac:dyDescent="0.2">
      <c r="A19" s="53" t="s">
        <v>41</v>
      </c>
      <c r="B19" s="54" t="str">
        <f>+B11</f>
        <v>Taller de reparaciones menores, mantenimiento y llanteria</v>
      </c>
      <c r="C19" s="55" t="s">
        <v>40</v>
      </c>
      <c r="D19" s="56">
        <v>1</v>
      </c>
      <c r="E19" s="56">
        <f>+C4</f>
        <v>1.83</v>
      </c>
      <c r="F19" s="56">
        <v>2500</v>
      </c>
      <c r="G19" s="56">
        <f>ROUND(F19*E19,2)</f>
        <v>4575</v>
      </c>
    </row>
    <row r="20" spans="1:7" ht="12.9" customHeight="1" x14ac:dyDescent="0.2">
      <c r="A20" s="67"/>
      <c r="B20" s="72" t="s">
        <v>36</v>
      </c>
      <c r="C20" s="73"/>
      <c r="D20" s="74"/>
      <c r="E20" s="72"/>
      <c r="F20" s="72"/>
      <c r="G20" s="197">
        <f>SUM(G18:G19)</f>
        <v>7320</v>
      </c>
    </row>
    <row r="21" spans="1:7" ht="12.9" customHeight="1" x14ac:dyDescent="0.2">
      <c r="A21" s="67"/>
      <c r="B21" s="77"/>
      <c r="C21" s="78"/>
      <c r="D21" s="79"/>
      <c r="E21" s="80"/>
      <c r="F21" s="80"/>
      <c r="G21" s="81"/>
    </row>
    <row r="22" spans="1:7" ht="12.9" customHeight="1" x14ac:dyDescent="0.2">
      <c r="A22" s="194" t="s">
        <v>42</v>
      </c>
      <c r="B22" s="249" t="s">
        <v>43</v>
      </c>
      <c r="C22" s="77"/>
      <c r="D22" s="77"/>
      <c r="E22" s="77"/>
      <c r="F22" s="77"/>
      <c r="G22" s="82"/>
    </row>
    <row r="23" spans="1:7" s="57" customFormat="1" ht="12.9" customHeight="1" x14ac:dyDescent="0.2">
      <c r="A23" s="83" t="s">
        <v>44</v>
      </c>
      <c r="B23" s="84" t="s">
        <v>313</v>
      </c>
      <c r="C23" s="85" t="s">
        <v>314</v>
      </c>
      <c r="D23" s="86"/>
      <c r="E23" s="56">
        <v>2</v>
      </c>
      <c r="F23" s="56">
        <v>651.04</v>
      </c>
      <c r="G23" s="56">
        <f>ROUND(F23*E23,2)</f>
        <v>1302.08</v>
      </c>
    </row>
    <row r="24" spans="1:7" s="57" customFormat="1" ht="12.9" customHeight="1" x14ac:dyDescent="0.2">
      <c r="A24" s="83" t="s">
        <v>46</v>
      </c>
      <c r="B24" s="84" t="s">
        <v>312</v>
      </c>
      <c r="C24" s="85" t="s">
        <v>45</v>
      </c>
      <c r="D24" s="86"/>
      <c r="E24" s="56">
        <v>1</v>
      </c>
      <c r="F24" s="56">
        <f>2500/I6</f>
        <v>651.04166666666674</v>
      </c>
      <c r="G24" s="56">
        <f>ROUND(F24*E24,2)</f>
        <v>651.04</v>
      </c>
    </row>
    <row r="25" spans="1:7" ht="12.9" customHeight="1" x14ac:dyDescent="0.2">
      <c r="A25" s="87"/>
      <c r="B25" s="193" t="s">
        <v>47</v>
      </c>
      <c r="C25" s="68"/>
      <c r="D25" s="69"/>
      <c r="E25" s="70"/>
      <c r="F25" s="70"/>
      <c r="G25" s="197">
        <f>SUM(G23:G24)</f>
        <v>1953.12</v>
      </c>
    </row>
    <row r="26" spans="1:7" ht="12.9" customHeight="1" x14ac:dyDescent="0.2">
      <c r="A26" s="67"/>
      <c r="B26" s="51"/>
      <c r="C26" s="68"/>
      <c r="D26" s="69"/>
      <c r="E26" s="70"/>
      <c r="F26" s="70"/>
      <c r="G26" s="71"/>
    </row>
    <row r="27" spans="1:7" ht="12.9" customHeight="1" x14ac:dyDescent="0.2">
      <c r="A27" s="194" t="s">
        <v>48</v>
      </c>
      <c r="B27" s="191" t="s">
        <v>49</v>
      </c>
      <c r="C27" s="63"/>
      <c r="D27" s="63"/>
      <c r="E27" s="63"/>
      <c r="F27" s="63"/>
      <c r="G27" s="323"/>
    </row>
    <row r="28" spans="1:7" ht="12.9" customHeight="1" x14ac:dyDescent="0.2">
      <c r="A28" s="380" t="s">
        <v>50</v>
      </c>
      <c r="B28" s="382" t="s">
        <v>174</v>
      </c>
      <c r="C28" s="383" t="s">
        <v>51</v>
      </c>
      <c r="D28" s="384">
        <v>1</v>
      </c>
      <c r="E28" s="381">
        <v>0.5</v>
      </c>
      <c r="F28" s="381">
        <v>13000</v>
      </c>
      <c r="G28" s="381">
        <f t="shared" ref="G28:G42" si="0">ROUND(F28*E28*D28,2)</f>
        <v>6500</v>
      </c>
    </row>
    <row r="29" spans="1:7" ht="12.9" customHeight="1" x14ac:dyDescent="0.2">
      <c r="A29" s="380" t="s">
        <v>52</v>
      </c>
      <c r="B29" s="111" t="s">
        <v>430</v>
      </c>
      <c r="C29" s="386" t="s">
        <v>51</v>
      </c>
      <c r="D29" s="385"/>
      <c r="E29" s="387"/>
      <c r="F29" s="387">
        <v>7000</v>
      </c>
      <c r="G29" s="293">
        <f t="shared" ref="G29" si="1">ROUND(F29*E29*D29,2)</f>
        <v>0</v>
      </c>
    </row>
    <row r="30" spans="1:7" ht="12.9" customHeight="1" x14ac:dyDescent="0.2">
      <c r="A30" s="83" t="s">
        <v>54</v>
      </c>
      <c r="B30" s="137" t="s">
        <v>429</v>
      </c>
      <c r="C30" s="310" t="s">
        <v>51</v>
      </c>
      <c r="D30" s="250"/>
      <c r="E30" s="76"/>
      <c r="F30" s="76">
        <v>7000</v>
      </c>
      <c r="G30" s="76">
        <f t="shared" ref="G30:G31" si="2">ROUND(F30*E30*D30,2)</f>
        <v>0</v>
      </c>
    </row>
    <row r="31" spans="1:7" ht="12.9" customHeight="1" x14ac:dyDescent="0.2">
      <c r="A31" s="83" t="s">
        <v>57</v>
      </c>
      <c r="B31" s="137" t="s">
        <v>428</v>
      </c>
      <c r="C31" s="310" t="s">
        <v>51</v>
      </c>
      <c r="D31" s="250"/>
      <c r="E31" s="76"/>
      <c r="F31" s="76">
        <v>7000</v>
      </c>
      <c r="G31" s="76">
        <f t="shared" si="2"/>
        <v>0</v>
      </c>
    </row>
    <row r="32" spans="1:7" ht="12.9" customHeight="1" x14ac:dyDescent="0.2">
      <c r="A32" s="83" t="s">
        <v>59</v>
      </c>
      <c r="B32" s="137" t="s">
        <v>318</v>
      </c>
      <c r="C32" s="310" t="s">
        <v>51</v>
      </c>
      <c r="D32" s="250"/>
      <c r="E32" s="76"/>
      <c r="F32" s="76">
        <v>6700</v>
      </c>
      <c r="G32" s="76">
        <f t="shared" ref="G32" si="3">ROUND(F32*E32*D32,2)</f>
        <v>0</v>
      </c>
    </row>
    <row r="33" spans="1:7" ht="12.9" customHeight="1" x14ac:dyDescent="0.2">
      <c r="A33" s="83" t="s">
        <v>61</v>
      </c>
      <c r="B33" s="137" t="s">
        <v>431</v>
      </c>
      <c r="C33" s="310" t="s">
        <v>51</v>
      </c>
      <c r="D33" s="250">
        <v>1</v>
      </c>
      <c r="E33" s="76">
        <v>0.5</v>
      </c>
      <c r="F33" s="76">
        <v>13000</v>
      </c>
      <c r="G33" s="76">
        <f t="shared" si="0"/>
        <v>6500</v>
      </c>
    </row>
    <row r="34" spans="1:7" ht="12.9" customHeight="1" x14ac:dyDescent="0.2">
      <c r="A34" s="83" t="s">
        <v>63</v>
      </c>
      <c r="B34" s="118" t="s">
        <v>327</v>
      </c>
      <c r="C34" s="310" t="s">
        <v>51</v>
      </c>
      <c r="D34" s="250"/>
      <c r="E34" s="76"/>
      <c r="F34" s="76">
        <v>7000</v>
      </c>
      <c r="G34" s="76">
        <f t="shared" ref="G34" si="4">ROUND(F34*E34*D34,2)</f>
        <v>0</v>
      </c>
    </row>
    <row r="35" spans="1:7" ht="12.9" customHeight="1" x14ac:dyDescent="0.2">
      <c r="A35" s="83" t="s">
        <v>65</v>
      </c>
      <c r="B35" s="118" t="s">
        <v>80</v>
      </c>
      <c r="C35" s="310" t="s">
        <v>51</v>
      </c>
      <c r="D35" s="250"/>
      <c r="E35" s="76"/>
      <c r="F35" s="76">
        <v>3500</v>
      </c>
      <c r="G35" s="76">
        <f t="shared" si="0"/>
        <v>0</v>
      </c>
    </row>
    <row r="36" spans="1:7" ht="12.9" customHeight="1" x14ac:dyDescent="0.2">
      <c r="A36" s="83" t="s">
        <v>178</v>
      </c>
      <c r="B36" s="118" t="s">
        <v>321</v>
      </c>
      <c r="C36" s="310" t="s">
        <v>51</v>
      </c>
      <c r="D36" s="250">
        <v>1</v>
      </c>
      <c r="E36" s="76">
        <v>0.5</v>
      </c>
      <c r="F36" s="76">
        <v>3500</v>
      </c>
      <c r="G36" s="76">
        <f t="shared" si="0"/>
        <v>1750</v>
      </c>
    </row>
    <row r="37" spans="1:7" ht="12.9" customHeight="1" x14ac:dyDescent="0.2">
      <c r="A37" s="83" t="s">
        <v>316</v>
      </c>
      <c r="B37" s="118" t="s">
        <v>55</v>
      </c>
      <c r="C37" s="310" t="s">
        <v>56</v>
      </c>
      <c r="D37" s="250">
        <v>1</v>
      </c>
      <c r="E37" s="324">
        <v>0.52</v>
      </c>
      <c r="F37" s="76">
        <f>SUM(G28:G36)</f>
        <v>14750</v>
      </c>
      <c r="G37" s="76">
        <f t="shared" si="0"/>
        <v>7670</v>
      </c>
    </row>
    <row r="38" spans="1:7" ht="12.9" customHeight="1" x14ac:dyDescent="0.2">
      <c r="A38" s="83" t="s">
        <v>317</v>
      </c>
      <c r="B38" s="118" t="s">
        <v>58</v>
      </c>
      <c r="C38" s="310" t="s">
        <v>45</v>
      </c>
      <c r="D38" s="250">
        <v>1</v>
      </c>
      <c r="E38" s="76">
        <v>1</v>
      </c>
      <c r="F38" s="76">
        <f>750</f>
        <v>750</v>
      </c>
      <c r="G38" s="76">
        <f t="shared" si="0"/>
        <v>750</v>
      </c>
    </row>
    <row r="39" spans="1:7" ht="12.9" customHeight="1" x14ac:dyDescent="0.2">
      <c r="A39" s="83" t="s">
        <v>319</v>
      </c>
      <c r="B39" s="118" t="s">
        <v>60</v>
      </c>
      <c r="C39" s="310" t="s">
        <v>45</v>
      </c>
      <c r="D39" s="250">
        <v>1</v>
      </c>
      <c r="E39" s="76">
        <v>1</v>
      </c>
      <c r="F39" s="76">
        <f>250</f>
        <v>250</v>
      </c>
      <c r="G39" s="76">
        <f t="shared" si="0"/>
        <v>250</v>
      </c>
    </row>
    <row r="40" spans="1:7" ht="12.9" customHeight="1" x14ac:dyDescent="0.2">
      <c r="A40" s="83" t="s">
        <v>323</v>
      </c>
      <c r="B40" s="118" t="s">
        <v>62</v>
      </c>
      <c r="C40" s="310" t="s">
        <v>45</v>
      </c>
      <c r="D40" s="250">
        <v>1</v>
      </c>
      <c r="E40" s="76">
        <v>1</v>
      </c>
      <c r="F40" s="76">
        <f>300</f>
        <v>300</v>
      </c>
      <c r="G40" s="76">
        <f t="shared" si="0"/>
        <v>300</v>
      </c>
    </row>
    <row r="41" spans="1:7" ht="12.9" customHeight="1" x14ac:dyDescent="0.2">
      <c r="A41" s="83" t="s">
        <v>322</v>
      </c>
      <c r="B41" s="122" t="s">
        <v>64</v>
      </c>
      <c r="C41" s="310" t="s">
        <v>45</v>
      </c>
      <c r="D41" s="250">
        <v>1</v>
      </c>
      <c r="E41" s="76">
        <v>1</v>
      </c>
      <c r="F41" s="76">
        <f>500</f>
        <v>500</v>
      </c>
      <c r="G41" s="76">
        <f t="shared" si="0"/>
        <v>500</v>
      </c>
    </row>
    <row r="42" spans="1:7" ht="12.9" customHeight="1" x14ac:dyDescent="0.2">
      <c r="A42" s="83">
        <v>4.17</v>
      </c>
      <c r="B42" s="122" t="s">
        <v>66</v>
      </c>
      <c r="C42" s="310" t="s">
        <v>45</v>
      </c>
      <c r="D42" s="250">
        <v>1</v>
      </c>
      <c r="E42" s="76">
        <v>1</v>
      </c>
      <c r="F42" s="76">
        <f>350</f>
        <v>350</v>
      </c>
      <c r="G42" s="76">
        <f t="shared" si="0"/>
        <v>350</v>
      </c>
    </row>
    <row r="43" spans="1:7" ht="12.9" customHeight="1" x14ac:dyDescent="0.2">
      <c r="A43" s="58"/>
      <c r="B43" s="191" t="s">
        <v>67</v>
      </c>
      <c r="C43" s="306"/>
      <c r="D43" s="60"/>
      <c r="E43" s="59"/>
      <c r="F43" s="59"/>
      <c r="G43" s="190">
        <f>SUM(G28:G42)</f>
        <v>24570</v>
      </c>
    </row>
    <row r="44" spans="1:7" ht="12.9" customHeight="1" x14ac:dyDescent="0.2">
      <c r="A44" s="58"/>
      <c r="B44" s="63"/>
      <c r="C44" s="306"/>
      <c r="D44" s="60"/>
      <c r="E44" s="59"/>
      <c r="F44" s="59"/>
      <c r="G44" s="61"/>
    </row>
    <row r="45" spans="1:7" ht="12.9" customHeight="1" x14ac:dyDescent="0.2">
      <c r="A45" s="192" t="s">
        <v>68</v>
      </c>
      <c r="B45" s="249" t="s">
        <v>69</v>
      </c>
      <c r="C45" s="325"/>
      <c r="D45" s="325"/>
      <c r="E45" s="325"/>
      <c r="F45" s="325"/>
      <c r="G45" s="326"/>
    </row>
    <row r="46" spans="1:7" ht="12.9" customHeight="1" x14ac:dyDescent="0.2">
      <c r="A46" s="88" t="s">
        <v>70</v>
      </c>
      <c r="B46" s="89" t="s">
        <v>71</v>
      </c>
      <c r="C46" s="327" t="s">
        <v>0</v>
      </c>
      <c r="D46" s="328">
        <v>0.2</v>
      </c>
      <c r="E46" s="329">
        <v>1</v>
      </c>
      <c r="F46" s="330">
        <f>D5</f>
        <v>2098036.6882603788</v>
      </c>
      <c r="G46" s="329">
        <f>ROUND(F46*E46*D46/100,2)</f>
        <v>4196.07</v>
      </c>
    </row>
    <row r="47" spans="1:7" ht="12.9" customHeight="1" x14ac:dyDescent="0.2">
      <c r="A47" s="87"/>
      <c r="B47" s="193" t="s">
        <v>72</v>
      </c>
      <c r="C47" s="68"/>
      <c r="D47" s="69"/>
      <c r="E47" s="70"/>
      <c r="F47" s="70"/>
      <c r="G47" s="197">
        <f>SUM(G45:G46)</f>
        <v>4196.07</v>
      </c>
    </row>
    <row r="48" spans="1:7" ht="12.9" customHeight="1" x14ac:dyDescent="0.2">
      <c r="A48" s="67"/>
      <c r="B48" s="51"/>
      <c r="C48" s="68"/>
      <c r="D48" s="69"/>
      <c r="E48" s="70"/>
      <c r="F48" s="70"/>
      <c r="G48" s="71"/>
    </row>
    <row r="49" spans="1:7" s="44" customFormat="1" ht="12.9" customHeight="1" x14ac:dyDescent="0.3">
      <c r="A49" s="214" t="s">
        <v>73</v>
      </c>
      <c r="B49" s="215"/>
      <c r="C49" s="215"/>
      <c r="D49" s="220"/>
      <c r="E49" s="215"/>
      <c r="F49" s="221" t="s">
        <v>427</v>
      </c>
      <c r="G49" s="222">
        <f>G47+G43+G25+G20+G15</f>
        <v>44718.69</v>
      </c>
    </row>
    <row r="123" spans="7:7" x14ac:dyDescent="0.2">
      <c r="G123" s="92"/>
    </row>
  </sheetData>
  <mergeCells count="5">
    <mergeCell ref="A2:G2"/>
    <mergeCell ref="C4:D4"/>
    <mergeCell ref="A6:A7"/>
    <mergeCell ref="B6:B7"/>
    <mergeCell ref="C6:C7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9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26"/>
  <sheetViews>
    <sheetView showGridLines="0" view="pageBreakPreview" topLeftCell="A94" zoomScaleNormal="115" zoomScaleSheetLayoutView="100" workbookViewId="0">
      <selection activeCell="H13" sqref="H13"/>
    </sheetView>
  </sheetViews>
  <sheetFormatPr baseColWidth="10" defaultRowHeight="10.199999999999999" x14ac:dyDescent="0.2"/>
  <cols>
    <col min="1" max="1" width="8.44140625" style="42" customWidth="1"/>
    <col min="2" max="2" width="49.88671875" style="42" customWidth="1"/>
    <col min="3" max="4" width="8.6640625" style="42" customWidth="1"/>
    <col min="5" max="5" width="9.88671875" style="42" customWidth="1"/>
    <col min="6" max="7" width="14.6640625" style="42" customWidth="1"/>
    <col min="8" max="8" width="11.44140625" style="42"/>
    <col min="9" max="9" width="0" style="42" hidden="1" customWidth="1"/>
    <col min="10" max="256" width="11.44140625" style="42"/>
    <col min="257" max="257" width="8.44140625" style="42" customWidth="1"/>
    <col min="258" max="258" width="49.88671875" style="42" customWidth="1"/>
    <col min="259" max="261" width="8.6640625" style="42" customWidth="1"/>
    <col min="262" max="263" width="14.6640625" style="42" customWidth="1"/>
    <col min="264" max="512" width="11.44140625" style="42"/>
    <col min="513" max="513" width="8.44140625" style="42" customWidth="1"/>
    <col min="514" max="514" width="49.88671875" style="42" customWidth="1"/>
    <col min="515" max="517" width="8.6640625" style="42" customWidth="1"/>
    <col min="518" max="519" width="14.6640625" style="42" customWidth="1"/>
    <col min="520" max="768" width="11.44140625" style="42"/>
    <col min="769" max="769" width="8.44140625" style="42" customWidth="1"/>
    <col min="770" max="770" width="49.88671875" style="42" customWidth="1"/>
    <col min="771" max="773" width="8.6640625" style="42" customWidth="1"/>
    <col min="774" max="775" width="14.6640625" style="42" customWidth="1"/>
    <col min="776" max="1024" width="11.44140625" style="42"/>
    <col min="1025" max="1025" width="8.44140625" style="42" customWidth="1"/>
    <col min="1026" max="1026" width="49.88671875" style="42" customWidth="1"/>
    <col min="1027" max="1029" width="8.6640625" style="42" customWidth="1"/>
    <col min="1030" max="1031" width="14.6640625" style="42" customWidth="1"/>
    <col min="1032" max="1280" width="11.44140625" style="42"/>
    <col min="1281" max="1281" width="8.44140625" style="42" customWidth="1"/>
    <col min="1282" max="1282" width="49.88671875" style="42" customWidth="1"/>
    <col min="1283" max="1285" width="8.6640625" style="42" customWidth="1"/>
    <col min="1286" max="1287" width="14.6640625" style="42" customWidth="1"/>
    <col min="1288" max="1536" width="11.44140625" style="42"/>
    <col min="1537" max="1537" width="8.44140625" style="42" customWidth="1"/>
    <col min="1538" max="1538" width="49.88671875" style="42" customWidth="1"/>
    <col min="1539" max="1541" width="8.6640625" style="42" customWidth="1"/>
    <col min="1542" max="1543" width="14.6640625" style="42" customWidth="1"/>
    <col min="1544" max="1792" width="11.44140625" style="42"/>
    <col min="1793" max="1793" width="8.44140625" style="42" customWidth="1"/>
    <col min="1794" max="1794" width="49.88671875" style="42" customWidth="1"/>
    <col min="1795" max="1797" width="8.6640625" style="42" customWidth="1"/>
    <col min="1798" max="1799" width="14.6640625" style="42" customWidth="1"/>
    <col min="1800" max="2048" width="11.44140625" style="42"/>
    <col min="2049" max="2049" width="8.44140625" style="42" customWidth="1"/>
    <col min="2050" max="2050" width="49.88671875" style="42" customWidth="1"/>
    <col min="2051" max="2053" width="8.6640625" style="42" customWidth="1"/>
    <col min="2054" max="2055" width="14.6640625" style="42" customWidth="1"/>
    <col min="2056" max="2304" width="11.44140625" style="42"/>
    <col min="2305" max="2305" width="8.44140625" style="42" customWidth="1"/>
    <col min="2306" max="2306" width="49.88671875" style="42" customWidth="1"/>
    <col min="2307" max="2309" width="8.6640625" style="42" customWidth="1"/>
    <col min="2310" max="2311" width="14.6640625" style="42" customWidth="1"/>
    <col min="2312" max="2560" width="11.44140625" style="42"/>
    <col min="2561" max="2561" width="8.44140625" style="42" customWidth="1"/>
    <col min="2562" max="2562" width="49.88671875" style="42" customWidth="1"/>
    <col min="2563" max="2565" width="8.6640625" style="42" customWidth="1"/>
    <col min="2566" max="2567" width="14.6640625" style="42" customWidth="1"/>
    <col min="2568" max="2816" width="11.44140625" style="42"/>
    <col min="2817" max="2817" width="8.44140625" style="42" customWidth="1"/>
    <col min="2818" max="2818" width="49.88671875" style="42" customWidth="1"/>
    <col min="2819" max="2821" width="8.6640625" style="42" customWidth="1"/>
    <col min="2822" max="2823" width="14.6640625" style="42" customWidth="1"/>
    <col min="2824" max="3072" width="11.44140625" style="42"/>
    <col min="3073" max="3073" width="8.44140625" style="42" customWidth="1"/>
    <col min="3074" max="3074" width="49.88671875" style="42" customWidth="1"/>
    <col min="3075" max="3077" width="8.6640625" style="42" customWidth="1"/>
    <col min="3078" max="3079" width="14.6640625" style="42" customWidth="1"/>
    <col min="3080" max="3328" width="11.44140625" style="42"/>
    <col min="3329" max="3329" width="8.44140625" style="42" customWidth="1"/>
    <col min="3330" max="3330" width="49.88671875" style="42" customWidth="1"/>
    <col min="3331" max="3333" width="8.6640625" style="42" customWidth="1"/>
    <col min="3334" max="3335" width="14.6640625" style="42" customWidth="1"/>
    <col min="3336" max="3584" width="11.44140625" style="42"/>
    <col min="3585" max="3585" width="8.44140625" style="42" customWidth="1"/>
    <col min="3586" max="3586" width="49.88671875" style="42" customWidth="1"/>
    <col min="3587" max="3589" width="8.6640625" style="42" customWidth="1"/>
    <col min="3590" max="3591" width="14.6640625" style="42" customWidth="1"/>
    <col min="3592" max="3840" width="11.44140625" style="42"/>
    <col min="3841" max="3841" width="8.44140625" style="42" customWidth="1"/>
    <col min="3842" max="3842" width="49.88671875" style="42" customWidth="1"/>
    <col min="3843" max="3845" width="8.6640625" style="42" customWidth="1"/>
    <col min="3846" max="3847" width="14.6640625" style="42" customWidth="1"/>
    <col min="3848" max="4096" width="11.44140625" style="42"/>
    <col min="4097" max="4097" width="8.44140625" style="42" customWidth="1"/>
    <col min="4098" max="4098" width="49.88671875" style="42" customWidth="1"/>
    <col min="4099" max="4101" width="8.6640625" style="42" customWidth="1"/>
    <col min="4102" max="4103" width="14.6640625" style="42" customWidth="1"/>
    <col min="4104" max="4352" width="11.44140625" style="42"/>
    <col min="4353" max="4353" width="8.44140625" style="42" customWidth="1"/>
    <col min="4354" max="4354" width="49.88671875" style="42" customWidth="1"/>
    <col min="4355" max="4357" width="8.6640625" style="42" customWidth="1"/>
    <col min="4358" max="4359" width="14.6640625" style="42" customWidth="1"/>
    <col min="4360" max="4608" width="11.44140625" style="42"/>
    <col min="4609" max="4609" width="8.44140625" style="42" customWidth="1"/>
    <col min="4610" max="4610" width="49.88671875" style="42" customWidth="1"/>
    <col min="4611" max="4613" width="8.6640625" style="42" customWidth="1"/>
    <col min="4614" max="4615" width="14.6640625" style="42" customWidth="1"/>
    <col min="4616" max="4864" width="11.44140625" style="42"/>
    <col min="4865" max="4865" width="8.44140625" style="42" customWidth="1"/>
    <col min="4866" max="4866" width="49.88671875" style="42" customWidth="1"/>
    <col min="4867" max="4869" width="8.6640625" style="42" customWidth="1"/>
    <col min="4870" max="4871" width="14.6640625" style="42" customWidth="1"/>
    <col min="4872" max="5120" width="11.44140625" style="42"/>
    <col min="5121" max="5121" width="8.44140625" style="42" customWidth="1"/>
    <col min="5122" max="5122" width="49.88671875" style="42" customWidth="1"/>
    <col min="5123" max="5125" width="8.6640625" style="42" customWidth="1"/>
    <col min="5126" max="5127" width="14.6640625" style="42" customWidth="1"/>
    <col min="5128" max="5376" width="11.44140625" style="42"/>
    <col min="5377" max="5377" width="8.44140625" style="42" customWidth="1"/>
    <col min="5378" max="5378" width="49.88671875" style="42" customWidth="1"/>
    <col min="5379" max="5381" width="8.6640625" style="42" customWidth="1"/>
    <col min="5382" max="5383" width="14.6640625" style="42" customWidth="1"/>
    <col min="5384" max="5632" width="11.44140625" style="42"/>
    <col min="5633" max="5633" width="8.44140625" style="42" customWidth="1"/>
    <col min="5634" max="5634" width="49.88671875" style="42" customWidth="1"/>
    <col min="5635" max="5637" width="8.6640625" style="42" customWidth="1"/>
    <col min="5638" max="5639" width="14.6640625" style="42" customWidth="1"/>
    <col min="5640" max="5888" width="11.44140625" style="42"/>
    <col min="5889" max="5889" width="8.44140625" style="42" customWidth="1"/>
    <col min="5890" max="5890" width="49.88671875" style="42" customWidth="1"/>
    <col min="5891" max="5893" width="8.6640625" style="42" customWidth="1"/>
    <col min="5894" max="5895" width="14.6640625" style="42" customWidth="1"/>
    <col min="5896" max="6144" width="11.44140625" style="42"/>
    <col min="6145" max="6145" width="8.44140625" style="42" customWidth="1"/>
    <col min="6146" max="6146" width="49.88671875" style="42" customWidth="1"/>
    <col min="6147" max="6149" width="8.6640625" style="42" customWidth="1"/>
    <col min="6150" max="6151" width="14.6640625" style="42" customWidth="1"/>
    <col min="6152" max="6400" width="11.44140625" style="42"/>
    <col min="6401" max="6401" width="8.44140625" style="42" customWidth="1"/>
    <col min="6402" max="6402" width="49.88671875" style="42" customWidth="1"/>
    <col min="6403" max="6405" width="8.6640625" style="42" customWidth="1"/>
    <col min="6406" max="6407" width="14.6640625" style="42" customWidth="1"/>
    <col min="6408" max="6656" width="11.44140625" style="42"/>
    <col min="6657" max="6657" width="8.44140625" style="42" customWidth="1"/>
    <col min="6658" max="6658" width="49.88671875" style="42" customWidth="1"/>
    <col min="6659" max="6661" width="8.6640625" style="42" customWidth="1"/>
    <col min="6662" max="6663" width="14.6640625" style="42" customWidth="1"/>
    <col min="6664" max="6912" width="11.44140625" style="42"/>
    <col min="6913" max="6913" width="8.44140625" style="42" customWidth="1"/>
    <col min="6914" max="6914" width="49.88671875" style="42" customWidth="1"/>
    <col min="6915" max="6917" width="8.6640625" style="42" customWidth="1"/>
    <col min="6918" max="6919" width="14.6640625" style="42" customWidth="1"/>
    <col min="6920" max="7168" width="11.44140625" style="42"/>
    <col min="7169" max="7169" width="8.44140625" style="42" customWidth="1"/>
    <col min="7170" max="7170" width="49.88671875" style="42" customWidth="1"/>
    <col min="7171" max="7173" width="8.6640625" style="42" customWidth="1"/>
    <col min="7174" max="7175" width="14.6640625" style="42" customWidth="1"/>
    <col min="7176" max="7424" width="11.44140625" style="42"/>
    <col min="7425" max="7425" width="8.44140625" style="42" customWidth="1"/>
    <col min="7426" max="7426" width="49.88671875" style="42" customWidth="1"/>
    <col min="7427" max="7429" width="8.6640625" style="42" customWidth="1"/>
    <col min="7430" max="7431" width="14.6640625" style="42" customWidth="1"/>
    <col min="7432" max="7680" width="11.44140625" style="42"/>
    <col min="7681" max="7681" width="8.44140625" style="42" customWidth="1"/>
    <col min="7682" max="7682" width="49.88671875" style="42" customWidth="1"/>
    <col min="7683" max="7685" width="8.6640625" style="42" customWidth="1"/>
    <col min="7686" max="7687" width="14.6640625" style="42" customWidth="1"/>
    <col min="7688" max="7936" width="11.44140625" style="42"/>
    <col min="7937" max="7937" width="8.44140625" style="42" customWidth="1"/>
    <col min="7938" max="7938" width="49.88671875" style="42" customWidth="1"/>
    <col min="7939" max="7941" width="8.6640625" style="42" customWidth="1"/>
    <col min="7942" max="7943" width="14.6640625" style="42" customWidth="1"/>
    <col min="7944" max="8192" width="11.44140625" style="42"/>
    <col min="8193" max="8193" width="8.44140625" style="42" customWidth="1"/>
    <col min="8194" max="8194" width="49.88671875" style="42" customWidth="1"/>
    <col min="8195" max="8197" width="8.6640625" style="42" customWidth="1"/>
    <col min="8198" max="8199" width="14.6640625" style="42" customWidth="1"/>
    <col min="8200" max="8448" width="11.44140625" style="42"/>
    <col min="8449" max="8449" width="8.44140625" style="42" customWidth="1"/>
    <col min="8450" max="8450" width="49.88671875" style="42" customWidth="1"/>
    <col min="8451" max="8453" width="8.6640625" style="42" customWidth="1"/>
    <col min="8454" max="8455" width="14.6640625" style="42" customWidth="1"/>
    <col min="8456" max="8704" width="11.44140625" style="42"/>
    <col min="8705" max="8705" width="8.44140625" style="42" customWidth="1"/>
    <col min="8706" max="8706" width="49.88671875" style="42" customWidth="1"/>
    <col min="8707" max="8709" width="8.6640625" style="42" customWidth="1"/>
    <col min="8710" max="8711" width="14.6640625" style="42" customWidth="1"/>
    <col min="8712" max="8960" width="11.44140625" style="42"/>
    <col min="8961" max="8961" width="8.44140625" style="42" customWidth="1"/>
    <col min="8962" max="8962" width="49.88671875" style="42" customWidth="1"/>
    <col min="8963" max="8965" width="8.6640625" style="42" customWidth="1"/>
    <col min="8966" max="8967" width="14.6640625" style="42" customWidth="1"/>
    <col min="8968" max="9216" width="11.44140625" style="42"/>
    <col min="9217" max="9217" width="8.44140625" style="42" customWidth="1"/>
    <col min="9218" max="9218" width="49.88671875" style="42" customWidth="1"/>
    <col min="9219" max="9221" width="8.6640625" style="42" customWidth="1"/>
    <col min="9222" max="9223" width="14.6640625" style="42" customWidth="1"/>
    <col min="9224" max="9472" width="11.44140625" style="42"/>
    <col min="9473" max="9473" width="8.44140625" style="42" customWidth="1"/>
    <col min="9474" max="9474" width="49.88671875" style="42" customWidth="1"/>
    <col min="9475" max="9477" width="8.6640625" style="42" customWidth="1"/>
    <col min="9478" max="9479" width="14.6640625" style="42" customWidth="1"/>
    <col min="9480" max="9728" width="11.44140625" style="42"/>
    <col min="9729" max="9729" width="8.44140625" style="42" customWidth="1"/>
    <col min="9730" max="9730" width="49.88671875" style="42" customWidth="1"/>
    <col min="9731" max="9733" width="8.6640625" style="42" customWidth="1"/>
    <col min="9734" max="9735" width="14.6640625" style="42" customWidth="1"/>
    <col min="9736" max="9984" width="11.44140625" style="42"/>
    <col min="9985" max="9985" width="8.44140625" style="42" customWidth="1"/>
    <col min="9986" max="9986" width="49.88671875" style="42" customWidth="1"/>
    <col min="9987" max="9989" width="8.6640625" style="42" customWidth="1"/>
    <col min="9990" max="9991" width="14.6640625" style="42" customWidth="1"/>
    <col min="9992" max="10240" width="11.44140625" style="42"/>
    <col min="10241" max="10241" width="8.44140625" style="42" customWidth="1"/>
    <col min="10242" max="10242" width="49.88671875" style="42" customWidth="1"/>
    <col min="10243" max="10245" width="8.6640625" style="42" customWidth="1"/>
    <col min="10246" max="10247" width="14.6640625" style="42" customWidth="1"/>
    <col min="10248" max="10496" width="11.44140625" style="42"/>
    <col min="10497" max="10497" width="8.44140625" style="42" customWidth="1"/>
    <col min="10498" max="10498" width="49.88671875" style="42" customWidth="1"/>
    <col min="10499" max="10501" width="8.6640625" style="42" customWidth="1"/>
    <col min="10502" max="10503" width="14.6640625" style="42" customWidth="1"/>
    <col min="10504" max="10752" width="11.44140625" style="42"/>
    <col min="10753" max="10753" width="8.44140625" style="42" customWidth="1"/>
    <col min="10754" max="10754" width="49.88671875" style="42" customWidth="1"/>
    <col min="10755" max="10757" width="8.6640625" style="42" customWidth="1"/>
    <col min="10758" max="10759" width="14.6640625" style="42" customWidth="1"/>
    <col min="10760" max="11008" width="11.44140625" style="42"/>
    <col min="11009" max="11009" width="8.44140625" style="42" customWidth="1"/>
    <col min="11010" max="11010" width="49.88671875" style="42" customWidth="1"/>
    <col min="11011" max="11013" width="8.6640625" style="42" customWidth="1"/>
    <col min="11014" max="11015" width="14.6640625" style="42" customWidth="1"/>
    <col min="11016" max="11264" width="11.44140625" style="42"/>
    <col min="11265" max="11265" width="8.44140625" style="42" customWidth="1"/>
    <col min="11266" max="11266" width="49.88671875" style="42" customWidth="1"/>
    <col min="11267" max="11269" width="8.6640625" style="42" customWidth="1"/>
    <col min="11270" max="11271" width="14.6640625" style="42" customWidth="1"/>
    <col min="11272" max="11520" width="11.44140625" style="42"/>
    <col min="11521" max="11521" width="8.44140625" style="42" customWidth="1"/>
    <col min="11522" max="11522" width="49.88671875" style="42" customWidth="1"/>
    <col min="11523" max="11525" width="8.6640625" style="42" customWidth="1"/>
    <col min="11526" max="11527" width="14.6640625" style="42" customWidth="1"/>
    <col min="11528" max="11776" width="11.44140625" style="42"/>
    <col min="11777" max="11777" width="8.44140625" style="42" customWidth="1"/>
    <col min="11778" max="11778" width="49.88671875" style="42" customWidth="1"/>
    <col min="11779" max="11781" width="8.6640625" style="42" customWidth="1"/>
    <col min="11782" max="11783" width="14.6640625" style="42" customWidth="1"/>
    <col min="11784" max="12032" width="11.44140625" style="42"/>
    <col min="12033" max="12033" width="8.44140625" style="42" customWidth="1"/>
    <col min="12034" max="12034" width="49.88671875" style="42" customWidth="1"/>
    <col min="12035" max="12037" width="8.6640625" style="42" customWidth="1"/>
    <col min="12038" max="12039" width="14.6640625" style="42" customWidth="1"/>
    <col min="12040" max="12288" width="11.44140625" style="42"/>
    <col min="12289" max="12289" width="8.44140625" style="42" customWidth="1"/>
    <col min="12290" max="12290" width="49.88671875" style="42" customWidth="1"/>
    <col min="12291" max="12293" width="8.6640625" style="42" customWidth="1"/>
    <col min="12294" max="12295" width="14.6640625" style="42" customWidth="1"/>
    <col min="12296" max="12544" width="11.44140625" style="42"/>
    <col min="12545" max="12545" width="8.44140625" style="42" customWidth="1"/>
    <col min="12546" max="12546" width="49.88671875" style="42" customWidth="1"/>
    <col min="12547" max="12549" width="8.6640625" style="42" customWidth="1"/>
    <col min="12550" max="12551" width="14.6640625" style="42" customWidth="1"/>
    <col min="12552" max="12800" width="11.44140625" style="42"/>
    <col min="12801" max="12801" width="8.44140625" style="42" customWidth="1"/>
    <col min="12802" max="12802" width="49.88671875" style="42" customWidth="1"/>
    <col min="12803" max="12805" width="8.6640625" style="42" customWidth="1"/>
    <col min="12806" max="12807" width="14.6640625" style="42" customWidth="1"/>
    <col min="12808" max="13056" width="11.44140625" style="42"/>
    <col min="13057" max="13057" width="8.44140625" style="42" customWidth="1"/>
    <col min="13058" max="13058" width="49.88671875" style="42" customWidth="1"/>
    <col min="13059" max="13061" width="8.6640625" style="42" customWidth="1"/>
    <col min="13062" max="13063" width="14.6640625" style="42" customWidth="1"/>
    <col min="13064" max="13312" width="11.44140625" style="42"/>
    <col min="13313" max="13313" width="8.44140625" style="42" customWidth="1"/>
    <col min="13314" max="13314" width="49.88671875" style="42" customWidth="1"/>
    <col min="13315" max="13317" width="8.6640625" style="42" customWidth="1"/>
    <col min="13318" max="13319" width="14.6640625" style="42" customWidth="1"/>
    <col min="13320" max="13568" width="11.44140625" style="42"/>
    <col min="13569" max="13569" width="8.44140625" style="42" customWidth="1"/>
    <col min="13570" max="13570" width="49.88671875" style="42" customWidth="1"/>
    <col min="13571" max="13573" width="8.6640625" style="42" customWidth="1"/>
    <col min="13574" max="13575" width="14.6640625" style="42" customWidth="1"/>
    <col min="13576" max="13824" width="11.44140625" style="42"/>
    <col min="13825" max="13825" width="8.44140625" style="42" customWidth="1"/>
    <col min="13826" max="13826" width="49.88671875" style="42" customWidth="1"/>
    <col min="13827" max="13829" width="8.6640625" style="42" customWidth="1"/>
    <col min="13830" max="13831" width="14.6640625" style="42" customWidth="1"/>
    <col min="13832" max="14080" width="11.44140625" style="42"/>
    <col min="14081" max="14081" width="8.44140625" style="42" customWidth="1"/>
    <col min="14082" max="14082" width="49.88671875" style="42" customWidth="1"/>
    <col min="14083" max="14085" width="8.6640625" style="42" customWidth="1"/>
    <col min="14086" max="14087" width="14.6640625" style="42" customWidth="1"/>
    <col min="14088" max="14336" width="11.44140625" style="42"/>
    <col min="14337" max="14337" width="8.44140625" style="42" customWidth="1"/>
    <col min="14338" max="14338" width="49.88671875" style="42" customWidth="1"/>
    <col min="14339" max="14341" width="8.6640625" style="42" customWidth="1"/>
    <col min="14342" max="14343" width="14.6640625" style="42" customWidth="1"/>
    <col min="14344" max="14592" width="11.44140625" style="42"/>
    <col min="14593" max="14593" width="8.44140625" style="42" customWidth="1"/>
    <col min="14594" max="14594" width="49.88671875" style="42" customWidth="1"/>
    <col min="14595" max="14597" width="8.6640625" style="42" customWidth="1"/>
    <col min="14598" max="14599" width="14.6640625" style="42" customWidth="1"/>
    <col min="14600" max="14848" width="11.44140625" style="42"/>
    <col min="14849" max="14849" width="8.44140625" style="42" customWidth="1"/>
    <col min="14850" max="14850" width="49.88671875" style="42" customWidth="1"/>
    <col min="14851" max="14853" width="8.6640625" style="42" customWidth="1"/>
    <col min="14854" max="14855" width="14.6640625" style="42" customWidth="1"/>
    <col min="14856" max="15104" width="11.44140625" style="42"/>
    <col min="15105" max="15105" width="8.44140625" style="42" customWidth="1"/>
    <col min="15106" max="15106" width="49.88671875" style="42" customWidth="1"/>
    <col min="15107" max="15109" width="8.6640625" style="42" customWidth="1"/>
    <col min="15110" max="15111" width="14.6640625" style="42" customWidth="1"/>
    <col min="15112" max="15360" width="11.44140625" style="42"/>
    <col min="15361" max="15361" width="8.44140625" style="42" customWidth="1"/>
    <col min="15362" max="15362" width="49.88671875" style="42" customWidth="1"/>
    <col min="15363" max="15365" width="8.6640625" style="42" customWidth="1"/>
    <col min="15366" max="15367" width="14.6640625" style="42" customWidth="1"/>
    <col min="15368" max="15616" width="11.44140625" style="42"/>
    <col min="15617" max="15617" width="8.44140625" style="42" customWidth="1"/>
    <col min="15618" max="15618" width="49.88671875" style="42" customWidth="1"/>
    <col min="15619" max="15621" width="8.6640625" style="42" customWidth="1"/>
    <col min="15622" max="15623" width="14.6640625" style="42" customWidth="1"/>
    <col min="15624" max="15872" width="11.44140625" style="42"/>
    <col min="15873" max="15873" width="8.44140625" style="42" customWidth="1"/>
    <col min="15874" max="15874" width="49.88671875" style="42" customWidth="1"/>
    <col min="15875" max="15877" width="8.6640625" style="42" customWidth="1"/>
    <col min="15878" max="15879" width="14.6640625" style="42" customWidth="1"/>
    <col min="15880" max="16128" width="11.44140625" style="42"/>
    <col min="16129" max="16129" width="8.44140625" style="42" customWidth="1"/>
    <col min="16130" max="16130" width="49.88671875" style="42" customWidth="1"/>
    <col min="16131" max="16133" width="8.6640625" style="42" customWidth="1"/>
    <col min="16134" max="16135" width="14.6640625" style="42" customWidth="1"/>
    <col min="16136" max="16384" width="11.44140625" style="42"/>
  </cols>
  <sheetData>
    <row r="2" spans="1:9" s="34" customFormat="1" ht="24" customHeight="1" x14ac:dyDescent="0.2">
      <c r="A2" s="446" t="s">
        <v>74</v>
      </c>
      <c r="B2" s="446"/>
      <c r="C2" s="446"/>
      <c r="D2" s="446"/>
      <c r="E2" s="446"/>
      <c r="F2" s="446"/>
      <c r="G2" s="446"/>
    </row>
    <row r="3" spans="1:9" s="38" customFormat="1" ht="21" customHeight="1" x14ac:dyDescent="0.2">
      <c r="A3" s="451" t="s">
        <v>357</v>
      </c>
      <c r="B3" s="452"/>
      <c r="C3" s="452"/>
      <c r="D3" s="452"/>
      <c r="E3" s="452"/>
      <c r="F3" s="452"/>
      <c r="G3" s="453"/>
    </row>
    <row r="4" spans="1:9" ht="12.9" customHeight="1" x14ac:dyDescent="0.2">
      <c r="A4" s="39"/>
      <c r="B4" s="391" t="s">
        <v>15</v>
      </c>
      <c r="C4" s="448">
        <v>1.83</v>
      </c>
      <c r="D4" s="448"/>
      <c r="E4" s="41"/>
      <c r="F4" s="36"/>
      <c r="G4" s="37"/>
    </row>
    <row r="5" spans="1:9" ht="12.9" customHeight="1" x14ac:dyDescent="0.2">
      <c r="A5" s="39"/>
      <c r="B5" s="391" t="s">
        <v>214</v>
      </c>
      <c r="C5" s="448">
        <f>+'GASTOS GENERALES'!F12</f>
        <v>2098036.6882603788</v>
      </c>
      <c r="D5" s="448"/>
      <c r="E5" s="41"/>
      <c r="F5" s="36"/>
      <c r="G5" s="37"/>
    </row>
    <row r="6" spans="1:9" s="44" customFormat="1" ht="12.9" customHeight="1" x14ac:dyDescent="0.3">
      <c r="A6" s="449" t="s">
        <v>16</v>
      </c>
      <c r="B6" s="449" t="s">
        <v>17</v>
      </c>
      <c r="C6" s="449" t="s">
        <v>75</v>
      </c>
      <c r="D6" s="209" t="s">
        <v>19</v>
      </c>
      <c r="E6" s="210"/>
      <c r="F6" s="211" t="s">
        <v>20</v>
      </c>
      <c r="G6" s="211" t="s">
        <v>21</v>
      </c>
      <c r="I6" s="44">
        <v>3.84</v>
      </c>
    </row>
    <row r="7" spans="1:9" s="44" customFormat="1" ht="12.9" customHeight="1" x14ac:dyDescent="0.3">
      <c r="A7" s="450"/>
      <c r="B7" s="450"/>
      <c r="C7" s="450"/>
      <c r="D7" s="212" t="s">
        <v>22</v>
      </c>
      <c r="E7" s="212" t="s">
        <v>23</v>
      </c>
      <c r="F7" s="212" t="s">
        <v>427</v>
      </c>
      <c r="G7" s="212" t="s">
        <v>427</v>
      </c>
    </row>
    <row r="8" spans="1:9" ht="12.9" customHeight="1" x14ac:dyDescent="0.2">
      <c r="A8" s="45"/>
      <c r="B8" s="46"/>
      <c r="C8" s="47"/>
      <c r="D8" s="48"/>
      <c r="E8" s="49"/>
      <c r="F8" s="93"/>
      <c r="G8" s="50"/>
    </row>
    <row r="9" spans="1:9" ht="12.9" customHeight="1" x14ac:dyDescent="0.2">
      <c r="A9" s="192" t="s">
        <v>24</v>
      </c>
      <c r="B9" s="193" t="s">
        <v>76</v>
      </c>
      <c r="C9" s="51"/>
      <c r="D9" s="51"/>
      <c r="E9" s="51"/>
      <c r="F9" s="51"/>
      <c r="G9" s="52"/>
    </row>
    <row r="10" spans="1:9" ht="12.9" customHeight="1" x14ac:dyDescent="0.2">
      <c r="A10" s="94"/>
      <c r="B10" s="95" t="s">
        <v>77</v>
      </c>
      <c r="C10" s="96"/>
      <c r="D10" s="96"/>
      <c r="E10" s="96"/>
      <c r="F10" s="96"/>
      <c r="G10" s="97"/>
    </row>
    <row r="11" spans="1:9" ht="12.9" customHeight="1" x14ac:dyDescent="0.2">
      <c r="A11" s="299"/>
      <c r="B11" s="379" t="s">
        <v>227</v>
      </c>
      <c r="C11" s="132"/>
      <c r="D11" s="105"/>
      <c r="E11" s="106"/>
      <c r="F11" s="106"/>
      <c r="G11" s="106"/>
    </row>
    <row r="12" spans="1:9" ht="12.9" customHeight="1" x14ac:dyDescent="0.2">
      <c r="A12" s="98" t="s">
        <v>26</v>
      </c>
      <c r="B12" s="135" t="str">
        <f>'GG FIJO'!B28</f>
        <v>Ingeniero Residente de Obra</v>
      </c>
      <c r="C12" s="55" t="s">
        <v>51</v>
      </c>
      <c r="D12" s="99">
        <v>1</v>
      </c>
      <c r="E12" s="251">
        <f>+$C$4</f>
        <v>1.83</v>
      </c>
      <c r="F12" s="252">
        <f>'GG FIJO'!F28</f>
        <v>13000</v>
      </c>
      <c r="G12" s="56">
        <f>ROUND(F12*E12*D12,2)</f>
        <v>23790</v>
      </c>
    </row>
    <row r="13" spans="1:9" ht="12.9" customHeight="1" x14ac:dyDescent="0.2">
      <c r="A13" s="98" t="s">
        <v>26</v>
      </c>
      <c r="B13" s="135" t="str">
        <f>'GG FIJO'!B29</f>
        <v>Ingeniero Supervisor de Construccion</v>
      </c>
      <c r="C13" s="55" t="s">
        <v>51</v>
      </c>
      <c r="D13" s="99">
        <v>1</v>
      </c>
      <c r="E13" s="251">
        <f t="shared" ref="E13:E16" si="0">+$C$4</f>
        <v>1.83</v>
      </c>
      <c r="F13" s="252">
        <f>'GG FIJO'!F29</f>
        <v>7000</v>
      </c>
      <c r="G13" s="56">
        <f>ROUND(F13*E13*D13,2)</f>
        <v>12810</v>
      </c>
    </row>
    <row r="14" spans="1:9" ht="12.9" customHeight="1" x14ac:dyDescent="0.2">
      <c r="A14" s="98" t="s">
        <v>30</v>
      </c>
      <c r="B14" s="137" t="str">
        <f>'GG FIJO'!B30</f>
        <v>Ingeniero Supervisor de Seguridad</v>
      </c>
      <c r="C14" s="55" t="s">
        <v>51</v>
      </c>
      <c r="D14" s="99">
        <v>1</v>
      </c>
      <c r="E14" s="251">
        <f t="shared" si="0"/>
        <v>1.83</v>
      </c>
      <c r="F14" s="252">
        <f>'GG FIJO'!F30</f>
        <v>7000</v>
      </c>
      <c r="G14" s="56">
        <f t="shared" ref="G14:G21" si="1">ROUND(F14*E14*D14,2)</f>
        <v>12810</v>
      </c>
    </row>
    <row r="15" spans="1:9" ht="12.9" customHeight="1" x14ac:dyDescent="0.2">
      <c r="A15" s="98" t="s">
        <v>301</v>
      </c>
      <c r="B15" s="135" t="str">
        <f>'GG FIJO'!B31</f>
        <v>Ingeniero supervisor Control de calidad</v>
      </c>
      <c r="C15" s="55" t="s">
        <v>51</v>
      </c>
      <c r="D15" s="99">
        <v>1</v>
      </c>
      <c r="E15" s="251">
        <f t="shared" si="0"/>
        <v>1.83</v>
      </c>
      <c r="F15" s="252">
        <f>'GG FIJO'!F31</f>
        <v>7000</v>
      </c>
      <c r="G15" s="56">
        <f>ROUND(F15*E15*D15,2)</f>
        <v>12810</v>
      </c>
    </row>
    <row r="16" spans="1:9" ht="12.9" customHeight="1" x14ac:dyDescent="0.2">
      <c r="A16" s="98" t="s">
        <v>78</v>
      </c>
      <c r="B16" s="135" t="str">
        <f>'GG FIJO'!B32</f>
        <v>ingeniero de costos y presupuestos</v>
      </c>
      <c r="C16" s="55" t="s">
        <v>51</v>
      </c>
      <c r="D16" s="99">
        <v>1</v>
      </c>
      <c r="E16" s="251">
        <f t="shared" si="0"/>
        <v>1.83</v>
      </c>
      <c r="F16" s="252">
        <f>'GG FIJO'!F32</f>
        <v>6700</v>
      </c>
      <c r="G16" s="56">
        <f t="shared" si="1"/>
        <v>12261</v>
      </c>
    </row>
    <row r="17" spans="1:7" ht="12.9" customHeight="1" x14ac:dyDescent="0.2">
      <c r="A17" s="98" t="s">
        <v>330</v>
      </c>
      <c r="B17" s="135" t="s">
        <v>432</v>
      </c>
      <c r="C17" s="55" t="s">
        <v>51</v>
      </c>
      <c r="D17" s="99">
        <v>1</v>
      </c>
      <c r="E17" s="251">
        <v>1</v>
      </c>
      <c r="F17" s="252">
        <f>'GG FIJO'!F33</f>
        <v>13000</v>
      </c>
      <c r="G17" s="56">
        <f t="shared" ref="G17" si="2">ROUND(F17*E17*D17,2)</f>
        <v>13000</v>
      </c>
    </row>
    <row r="18" spans="1:7" ht="12.9" customHeight="1" x14ac:dyDescent="0.2">
      <c r="A18" s="98" t="s">
        <v>79</v>
      </c>
      <c r="B18" s="137" t="s">
        <v>233</v>
      </c>
      <c r="C18" s="55" t="s">
        <v>51</v>
      </c>
      <c r="D18" s="99">
        <v>2</v>
      </c>
      <c r="E18" s="251">
        <v>1</v>
      </c>
      <c r="F18" s="252">
        <f>3000</f>
        <v>3000</v>
      </c>
      <c r="G18" s="56">
        <f t="shared" si="1"/>
        <v>6000</v>
      </c>
    </row>
    <row r="19" spans="1:7" ht="12.9" customHeight="1" x14ac:dyDescent="0.2">
      <c r="A19" s="98" t="s">
        <v>302</v>
      </c>
      <c r="B19" s="137" t="s">
        <v>433</v>
      </c>
      <c r="C19" s="55" t="s">
        <v>51</v>
      </c>
      <c r="D19" s="99">
        <v>1</v>
      </c>
      <c r="E19" s="251">
        <v>1</v>
      </c>
      <c r="F19" s="252">
        <f>3000</f>
        <v>3000</v>
      </c>
      <c r="G19" s="56">
        <f>ROUND(F19*E19*D19,2)</f>
        <v>3000</v>
      </c>
    </row>
    <row r="20" spans="1:7" ht="12.9" customHeight="1" x14ac:dyDescent="0.2">
      <c r="A20" s="98" t="s">
        <v>175</v>
      </c>
      <c r="B20" s="137" t="s">
        <v>223</v>
      </c>
      <c r="C20" s="55" t="s">
        <v>51</v>
      </c>
      <c r="D20" s="99">
        <v>1</v>
      </c>
      <c r="E20" s="251">
        <v>1</v>
      </c>
      <c r="F20" s="252">
        <f>3000</f>
        <v>3000</v>
      </c>
      <c r="G20" s="56">
        <f t="shared" si="1"/>
        <v>3000</v>
      </c>
    </row>
    <row r="21" spans="1:7" ht="12.9" customHeight="1" x14ac:dyDescent="0.2">
      <c r="A21" s="98" t="s">
        <v>234</v>
      </c>
      <c r="B21" s="137" t="s">
        <v>80</v>
      </c>
      <c r="C21" s="55" t="s">
        <v>51</v>
      </c>
      <c r="D21" s="99">
        <v>1</v>
      </c>
      <c r="E21" s="251">
        <f t="shared" ref="E21" si="3">+E20</f>
        <v>1</v>
      </c>
      <c r="F21" s="252">
        <f>3000</f>
        <v>3000</v>
      </c>
      <c r="G21" s="56">
        <f t="shared" si="1"/>
        <v>3000</v>
      </c>
    </row>
    <row r="22" spans="1:7" ht="12.9" customHeight="1" x14ac:dyDescent="0.2">
      <c r="A22" s="98" t="s">
        <v>176</v>
      </c>
      <c r="B22" s="137" t="s">
        <v>304</v>
      </c>
      <c r="C22" s="55" t="s">
        <v>51</v>
      </c>
      <c r="D22" s="99">
        <v>1</v>
      </c>
      <c r="E22" s="251">
        <f>+E21</f>
        <v>1</v>
      </c>
      <c r="F22" s="252">
        <f>3000</f>
        <v>3000</v>
      </c>
      <c r="G22" s="56">
        <f>ROUND(F22*E22*D22,2)</f>
        <v>3000</v>
      </c>
    </row>
    <row r="23" spans="1:7" ht="12.9" customHeight="1" x14ac:dyDescent="0.2">
      <c r="A23" s="98" t="s">
        <v>179</v>
      </c>
      <c r="B23" s="137" t="s">
        <v>320</v>
      </c>
      <c r="C23" s="55" t="s">
        <v>51</v>
      </c>
      <c r="D23" s="99">
        <v>1</v>
      </c>
      <c r="E23" s="251">
        <f>+E22</f>
        <v>1</v>
      </c>
      <c r="F23" s="252">
        <f>3000</f>
        <v>3000</v>
      </c>
      <c r="G23" s="56">
        <f>ROUND(F23*E23*D23,2)</f>
        <v>3000</v>
      </c>
    </row>
    <row r="24" spans="1:7" ht="12.9" customHeight="1" x14ac:dyDescent="0.2">
      <c r="A24" s="98" t="s">
        <v>315</v>
      </c>
      <c r="B24" s="137" t="s">
        <v>305</v>
      </c>
      <c r="C24" s="55" t="s">
        <v>51</v>
      </c>
      <c r="D24" s="99">
        <v>4</v>
      </c>
      <c r="E24" s="251">
        <f>+E22</f>
        <v>1</v>
      </c>
      <c r="F24" s="252">
        <f>1200</f>
        <v>1200</v>
      </c>
      <c r="G24" s="56">
        <f>ROUND(F24*E24*D24,2)</f>
        <v>4800</v>
      </c>
    </row>
    <row r="25" spans="1:7" ht="12.9" customHeight="1" x14ac:dyDescent="0.2">
      <c r="A25" s="98" t="s">
        <v>83</v>
      </c>
      <c r="B25" s="300" t="s">
        <v>81</v>
      </c>
      <c r="C25" s="301" t="s">
        <v>0</v>
      </c>
      <c r="D25" s="100">
        <v>1</v>
      </c>
      <c r="E25" s="253">
        <v>0.52</v>
      </c>
      <c r="F25" s="101">
        <f>SUM(G12:G24)</f>
        <v>113281</v>
      </c>
      <c r="G25" s="101">
        <f>ROUND(F25*E25,2)</f>
        <v>58906.12</v>
      </c>
    </row>
    <row r="26" spans="1:7" ht="12.9" customHeight="1" x14ac:dyDescent="0.2">
      <c r="A26" s="302"/>
      <c r="B26" s="114" t="s">
        <v>82</v>
      </c>
      <c r="C26" s="303"/>
      <c r="D26" s="102"/>
      <c r="E26" s="103"/>
      <c r="F26" s="103"/>
      <c r="G26" s="103">
        <f>SUM(G12:G25)</f>
        <v>172187.12</v>
      </c>
    </row>
    <row r="27" spans="1:7" ht="12.9" customHeight="1" x14ac:dyDescent="0.2">
      <c r="B27" s="104" t="s">
        <v>228</v>
      </c>
      <c r="C27" s="132"/>
      <c r="D27" s="105"/>
      <c r="E27" s="106"/>
      <c r="F27" s="106"/>
      <c r="G27" s="106"/>
    </row>
    <row r="28" spans="1:7" ht="12.9" customHeight="1" x14ac:dyDescent="0.2">
      <c r="A28" s="107" t="s">
        <v>84</v>
      </c>
      <c r="B28" s="137" t="s">
        <v>328</v>
      </c>
      <c r="C28" s="304" t="s">
        <v>51</v>
      </c>
      <c r="D28" s="108">
        <v>1</v>
      </c>
      <c r="E28" s="109">
        <v>1</v>
      </c>
      <c r="F28" s="109">
        <f>3500</f>
        <v>3500</v>
      </c>
      <c r="G28" s="109">
        <f t="shared" ref="G28:G32" si="4">ROUND(F28*E28*D28,2)</f>
        <v>3500</v>
      </c>
    </row>
    <row r="29" spans="1:7" ht="12.9" customHeight="1" x14ac:dyDescent="0.2">
      <c r="A29" s="107" t="s">
        <v>180</v>
      </c>
      <c r="B29" s="137" t="s">
        <v>85</v>
      </c>
      <c r="C29" s="304" t="s">
        <v>51</v>
      </c>
      <c r="D29" s="108">
        <v>1</v>
      </c>
      <c r="E29" s="109">
        <v>1</v>
      </c>
      <c r="F29" s="109">
        <f>2500</f>
        <v>2500</v>
      </c>
      <c r="G29" s="109">
        <f t="shared" si="4"/>
        <v>2500</v>
      </c>
    </row>
    <row r="30" spans="1:7" ht="12.9" customHeight="1" x14ac:dyDescent="0.2">
      <c r="A30" s="107" t="s">
        <v>86</v>
      </c>
      <c r="B30" s="137" t="s">
        <v>87</v>
      </c>
      <c r="C30" s="304" t="s">
        <v>51</v>
      </c>
      <c r="D30" s="108">
        <v>1</v>
      </c>
      <c r="E30" s="109">
        <v>1</v>
      </c>
      <c r="F30" s="109">
        <f>2500</f>
        <v>2500</v>
      </c>
      <c r="G30" s="109">
        <f t="shared" si="4"/>
        <v>2500</v>
      </c>
    </row>
    <row r="31" spans="1:7" ht="12.9" customHeight="1" x14ac:dyDescent="0.2">
      <c r="A31" s="107" t="s">
        <v>88</v>
      </c>
      <c r="B31" s="137" t="s">
        <v>89</v>
      </c>
      <c r="C31" s="304" t="s">
        <v>51</v>
      </c>
      <c r="D31" s="108">
        <v>2</v>
      </c>
      <c r="E31" s="109">
        <f t="shared" ref="E31:E33" si="5">+E30</f>
        <v>1</v>
      </c>
      <c r="F31" s="109">
        <f>2500</f>
        <v>2500</v>
      </c>
      <c r="G31" s="109">
        <f t="shared" si="4"/>
        <v>5000</v>
      </c>
    </row>
    <row r="32" spans="1:7" ht="12.9" customHeight="1" x14ac:dyDescent="0.2">
      <c r="A32" s="107" t="s">
        <v>189</v>
      </c>
      <c r="B32" s="137" t="s">
        <v>53</v>
      </c>
      <c r="C32" s="304" t="s">
        <v>51</v>
      </c>
      <c r="D32" s="108">
        <v>1</v>
      </c>
      <c r="E32" s="109">
        <f t="shared" si="5"/>
        <v>1</v>
      </c>
      <c r="F32" s="109">
        <f>1500</f>
        <v>1500</v>
      </c>
      <c r="G32" s="109">
        <f t="shared" si="4"/>
        <v>1500</v>
      </c>
    </row>
    <row r="33" spans="1:7" ht="12.9" customHeight="1" x14ac:dyDescent="0.2">
      <c r="A33" s="107" t="s">
        <v>331</v>
      </c>
      <c r="B33" s="137" t="s">
        <v>434</v>
      </c>
      <c r="C33" s="55" t="s">
        <v>51</v>
      </c>
      <c r="D33" s="99">
        <v>2</v>
      </c>
      <c r="E33" s="109">
        <f t="shared" si="5"/>
        <v>1</v>
      </c>
      <c r="F33" s="252">
        <f>1800</f>
        <v>1800</v>
      </c>
      <c r="G33" s="56">
        <f t="shared" ref="G33" si="6">ROUND(F33*E33*D33,2)</f>
        <v>3600</v>
      </c>
    </row>
    <row r="34" spans="1:7" ht="12.9" customHeight="1" x14ac:dyDescent="0.2">
      <c r="A34" s="107" t="s">
        <v>332</v>
      </c>
      <c r="B34" s="137" t="s">
        <v>435</v>
      </c>
      <c r="C34" s="55" t="s">
        <v>51</v>
      </c>
      <c r="D34" s="99">
        <f>D56</f>
        <v>4</v>
      </c>
      <c r="E34" s="109">
        <f t="shared" ref="E34:E35" si="7">+E33</f>
        <v>1</v>
      </c>
      <c r="F34" s="252">
        <f>1800</f>
        <v>1800</v>
      </c>
      <c r="G34" s="56">
        <f t="shared" ref="G34:G35" si="8">ROUND(F34*E34*D34,2)</f>
        <v>7200</v>
      </c>
    </row>
    <row r="35" spans="1:7" ht="12.9" customHeight="1" x14ac:dyDescent="0.2">
      <c r="A35" s="107" t="s">
        <v>333</v>
      </c>
      <c r="B35" s="137" t="s">
        <v>436</v>
      </c>
      <c r="C35" s="55" t="s">
        <v>51</v>
      </c>
      <c r="D35" s="99">
        <f>D57</f>
        <v>2</v>
      </c>
      <c r="E35" s="109">
        <f t="shared" si="7"/>
        <v>1</v>
      </c>
      <c r="F35" s="252">
        <f>1800</f>
        <v>1800</v>
      </c>
      <c r="G35" s="56">
        <f t="shared" si="8"/>
        <v>3600</v>
      </c>
    </row>
    <row r="36" spans="1:7" ht="12.9" customHeight="1" x14ac:dyDescent="0.2">
      <c r="A36" s="107" t="s">
        <v>334</v>
      </c>
      <c r="B36" s="137" t="s">
        <v>306</v>
      </c>
      <c r="C36" s="304" t="s">
        <v>51</v>
      </c>
      <c r="D36" s="108">
        <v>2</v>
      </c>
      <c r="E36" s="109">
        <f>+E33</f>
        <v>1</v>
      </c>
      <c r="F36" s="109">
        <f>1500</f>
        <v>1500</v>
      </c>
      <c r="G36" s="109">
        <f>ROUND(F36*E36*D36,2)</f>
        <v>3000</v>
      </c>
    </row>
    <row r="37" spans="1:7" ht="12.9" customHeight="1" x14ac:dyDescent="0.2">
      <c r="A37" s="107" t="s">
        <v>335</v>
      </c>
      <c r="B37" s="300" t="s">
        <v>81</v>
      </c>
      <c r="C37" s="301" t="s">
        <v>0</v>
      </c>
      <c r="D37" s="100">
        <v>1</v>
      </c>
      <c r="E37" s="110">
        <v>0.52</v>
      </c>
      <c r="F37" s="101">
        <f>SUM(G28:G36)</f>
        <v>32400</v>
      </c>
      <c r="G37" s="101">
        <f>ROUND(F37*E37,2)</f>
        <v>16848</v>
      </c>
    </row>
    <row r="38" spans="1:7" ht="12.9" customHeight="1" x14ac:dyDescent="0.2">
      <c r="A38" s="111"/>
      <c r="B38" s="114" t="s">
        <v>82</v>
      </c>
      <c r="C38" s="305"/>
      <c r="D38" s="112"/>
      <c r="E38" s="113"/>
      <c r="F38" s="113"/>
      <c r="G38" s="113">
        <f>SUM(G28:G37)</f>
        <v>49248</v>
      </c>
    </row>
    <row r="39" spans="1:7" ht="12.9" customHeight="1" x14ac:dyDescent="0.2">
      <c r="A39" s="67"/>
      <c r="B39" s="191" t="s">
        <v>90</v>
      </c>
      <c r="C39" s="306"/>
      <c r="D39" s="60"/>
      <c r="E39" s="59"/>
      <c r="F39" s="59"/>
      <c r="G39" s="190">
        <f>+G26+G38</f>
        <v>221435.12</v>
      </c>
    </row>
    <row r="40" spans="1:7" ht="12.9" customHeight="1" x14ac:dyDescent="0.2">
      <c r="A40" s="307"/>
      <c r="B40" s="114"/>
      <c r="C40" s="128"/>
      <c r="D40" s="115"/>
      <c r="E40" s="116"/>
      <c r="F40" s="116"/>
      <c r="G40" s="103"/>
    </row>
    <row r="41" spans="1:7" ht="12.9" customHeight="1" x14ac:dyDescent="0.2">
      <c r="A41" s="194" t="s">
        <v>37</v>
      </c>
      <c r="B41" s="191" t="s">
        <v>190</v>
      </c>
      <c r="C41" s="306"/>
      <c r="D41" s="60"/>
      <c r="E41" s="59"/>
      <c r="F41" s="59"/>
      <c r="G41" s="61"/>
    </row>
    <row r="42" spans="1:7" ht="12.9" customHeight="1" x14ac:dyDescent="0.2">
      <c r="A42" s="308" t="s">
        <v>39</v>
      </c>
      <c r="B42" s="309" t="s">
        <v>229</v>
      </c>
      <c r="C42" s="305" t="s">
        <v>51</v>
      </c>
      <c r="D42" s="117">
        <f>+SUM(D12:D24)-D24</f>
        <v>13</v>
      </c>
      <c r="E42" s="113">
        <f>+C4</f>
        <v>1.83</v>
      </c>
      <c r="F42" s="113">
        <f>24*30</f>
        <v>720</v>
      </c>
      <c r="G42" s="113">
        <f>ROUND(F42*E42*D42,2)</f>
        <v>17128.8</v>
      </c>
    </row>
    <row r="43" spans="1:7" ht="12.9" customHeight="1" x14ac:dyDescent="0.2">
      <c r="A43" s="120" t="s">
        <v>41</v>
      </c>
      <c r="B43" s="118" t="s">
        <v>230</v>
      </c>
      <c r="C43" s="310" t="s">
        <v>51</v>
      </c>
      <c r="D43" s="119">
        <f>+SUM(D28:D36)</f>
        <v>16</v>
      </c>
      <c r="E43" s="76">
        <v>1</v>
      </c>
      <c r="F43" s="76">
        <f>24*30</f>
        <v>720</v>
      </c>
      <c r="G43" s="76">
        <f>ROUND(F43*E43*D43,2)</f>
        <v>11520</v>
      </c>
    </row>
    <row r="44" spans="1:7" ht="12.9" customHeight="1" x14ac:dyDescent="0.2">
      <c r="A44" s="120" t="s">
        <v>91</v>
      </c>
      <c r="B44" s="118" t="s">
        <v>244</v>
      </c>
      <c r="C44" s="310" t="s">
        <v>51</v>
      </c>
      <c r="D44" s="119">
        <f>+D64+D65+D24</f>
        <v>38</v>
      </c>
      <c r="E44" s="76">
        <v>1</v>
      </c>
      <c r="F44" s="76">
        <f>9*30</f>
        <v>270</v>
      </c>
      <c r="G44" s="76">
        <f>ROUND(F44*E44*D44,2)</f>
        <v>10260</v>
      </c>
    </row>
    <row r="45" spans="1:7" ht="12.9" customHeight="1" x14ac:dyDescent="0.2">
      <c r="A45" s="67"/>
      <c r="B45" s="191" t="s">
        <v>92</v>
      </c>
      <c r="C45" s="306"/>
      <c r="D45" s="121"/>
      <c r="E45" s="59"/>
      <c r="F45" s="59"/>
      <c r="G45" s="190">
        <f>SUM(G42:G44)</f>
        <v>38908.800000000003</v>
      </c>
    </row>
    <row r="46" spans="1:7" ht="12.9" customHeight="1" x14ac:dyDescent="0.2">
      <c r="A46" s="307"/>
      <c r="B46" s="114"/>
      <c r="C46" s="128"/>
      <c r="D46" s="115"/>
      <c r="E46" s="116"/>
      <c r="F46" s="116"/>
      <c r="G46" s="103"/>
    </row>
    <row r="47" spans="1:7" ht="12.9" customHeight="1" x14ac:dyDescent="0.2">
      <c r="A47" s="194" t="s">
        <v>42</v>
      </c>
      <c r="B47" s="191" t="s">
        <v>93</v>
      </c>
      <c r="C47" s="306"/>
      <c r="D47" s="121"/>
      <c r="E47" s="59"/>
      <c r="F47" s="59"/>
      <c r="G47" s="61"/>
    </row>
    <row r="48" spans="1:7" ht="12.9" customHeight="1" x14ac:dyDescent="0.2">
      <c r="A48" s="120" t="s">
        <v>44</v>
      </c>
      <c r="B48" s="118" t="s">
        <v>224</v>
      </c>
      <c r="C48" s="310" t="s">
        <v>51</v>
      </c>
      <c r="D48" s="119">
        <v>1</v>
      </c>
      <c r="E48" s="76">
        <v>1</v>
      </c>
      <c r="F48" s="76">
        <f>3500</f>
        <v>3500</v>
      </c>
      <c r="G48" s="76">
        <f>ROUND(F48*E48*D48,2)</f>
        <v>3500</v>
      </c>
    </row>
    <row r="49" spans="1:7" ht="12.9" customHeight="1" x14ac:dyDescent="0.2">
      <c r="A49" s="120" t="s">
        <v>97</v>
      </c>
      <c r="B49" s="118" t="s">
        <v>94</v>
      </c>
      <c r="C49" s="310" t="s">
        <v>51</v>
      </c>
      <c r="D49" s="119">
        <v>6</v>
      </c>
      <c r="E49" s="76">
        <v>1</v>
      </c>
      <c r="F49" s="76">
        <f>315</f>
        <v>315</v>
      </c>
      <c r="G49" s="76">
        <f t="shared" ref="G49:G52" si="9">ROUND(F49*E49*D49,2)</f>
        <v>1890</v>
      </c>
    </row>
    <row r="50" spans="1:7" ht="12.9" customHeight="1" x14ac:dyDescent="0.2">
      <c r="A50" s="120" t="s">
        <v>99</v>
      </c>
      <c r="B50" s="118" t="s">
        <v>95</v>
      </c>
      <c r="C50" s="310" t="s">
        <v>51</v>
      </c>
      <c r="D50" s="119">
        <v>2</v>
      </c>
      <c r="E50" s="76">
        <v>1</v>
      </c>
      <c r="F50" s="76">
        <f>750</f>
        <v>750</v>
      </c>
      <c r="G50" s="76">
        <f t="shared" si="9"/>
        <v>1500</v>
      </c>
    </row>
    <row r="51" spans="1:7" ht="12.9" customHeight="1" x14ac:dyDescent="0.2">
      <c r="A51" s="120" t="s">
        <v>100</v>
      </c>
      <c r="B51" s="118" t="s">
        <v>96</v>
      </c>
      <c r="C51" s="310" t="s">
        <v>51</v>
      </c>
      <c r="D51" s="119">
        <v>5</v>
      </c>
      <c r="E51" s="76">
        <v>1</v>
      </c>
      <c r="F51" s="76">
        <v>600</v>
      </c>
      <c r="G51" s="76">
        <f>ROUND(F51*E51*D51,2)</f>
        <v>3000</v>
      </c>
    </row>
    <row r="52" spans="1:7" ht="12.9" customHeight="1" x14ac:dyDescent="0.2">
      <c r="A52" s="120" t="s">
        <v>232</v>
      </c>
      <c r="B52" s="118" t="s">
        <v>98</v>
      </c>
      <c r="C52" s="310" t="s">
        <v>51</v>
      </c>
      <c r="D52" s="119">
        <v>1</v>
      </c>
      <c r="E52" s="76">
        <v>1</v>
      </c>
      <c r="F52" s="76">
        <f>930</f>
        <v>930</v>
      </c>
      <c r="G52" s="76">
        <f t="shared" si="9"/>
        <v>930</v>
      </c>
    </row>
    <row r="53" spans="1:7" ht="12.9" customHeight="1" x14ac:dyDescent="0.2">
      <c r="A53" s="58"/>
      <c r="B53" s="191" t="s">
        <v>101</v>
      </c>
      <c r="C53" s="306"/>
      <c r="D53" s="121"/>
      <c r="E53" s="59"/>
      <c r="F53" s="59"/>
      <c r="G53" s="190">
        <f>SUM(G48:G52)</f>
        <v>10820</v>
      </c>
    </row>
    <row r="54" spans="1:7" ht="12.9" customHeight="1" x14ac:dyDescent="0.2">
      <c r="A54" s="124"/>
      <c r="B54" s="114"/>
      <c r="C54" s="128"/>
      <c r="D54" s="125"/>
      <c r="E54" s="116"/>
      <c r="F54" s="116"/>
      <c r="G54" s="103"/>
    </row>
    <row r="55" spans="1:7" ht="12.9" customHeight="1" x14ac:dyDescent="0.2">
      <c r="A55" s="194" t="s">
        <v>48</v>
      </c>
      <c r="B55" s="191" t="s">
        <v>102</v>
      </c>
      <c r="C55" s="306"/>
      <c r="D55" s="121"/>
      <c r="E55" s="59"/>
      <c r="F55" s="59"/>
      <c r="G55" s="61"/>
    </row>
    <row r="56" spans="1:7" ht="12.9" customHeight="1" x14ac:dyDescent="0.2">
      <c r="A56" s="120" t="s">
        <v>50</v>
      </c>
      <c r="B56" s="118" t="s">
        <v>103</v>
      </c>
      <c r="C56" s="310" t="s">
        <v>51</v>
      </c>
      <c r="D56" s="119">
        <v>4</v>
      </c>
      <c r="E56" s="76">
        <v>1</v>
      </c>
      <c r="F56" s="76">
        <v>1800</v>
      </c>
      <c r="G56" s="76">
        <f>ROUND(F56*E56*D56,2)</f>
        <v>7200</v>
      </c>
    </row>
    <row r="57" spans="1:7" ht="12.9" customHeight="1" x14ac:dyDescent="0.2">
      <c r="A57" s="120" t="s">
        <v>52</v>
      </c>
      <c r="B57" s="122" t="s">
        <v>337</v>
      </c>
      <c r="C57" s="311" t="s">
        <v>51</v>
      </c>
      <c r="D57" s="126">
        <v>2</v>
      </c>
      <c r="E57" s="76">
        <v>1</v>
      </c>
      <c r="F57" s="127">
        <f>135*30</f>
        <v>4050</v>
      </c>
      <c r="G57" s="127">
        <f>ROUND(F57*E57*D57,2)</f>
        <v>8100</v>
      </c>
    </row>
    <row r="58" spans="1:7" ht="12.9" customHeight="1" x14ac:dyDescent="0.2">
      <c r="A58" s="58"/>
      <c r="B58" s="191" t="s">
        <v>104</v>
      </c>
      <c r="C58" s="306"/>
      <c r="D58" s="121"/>
      <c r="E58" s="59"/>
      <c r="F58" s="59"/>
      <c r="G58" s="190">
        <f>SUM(G56:G57)</f>
        <v>15300</v>
      </c>
    </row>
    <row r="59" spans="1:7" s="57" customFormat="1" ht="12.9" customHeight="1" x14ac:dyDescent="0.2">
      <c r="A59" s="124" t="s">
        <v>336</v>
      </c>
      <c r="B59" s="114"/>
      <c r="C59" s="128"/>
      <c r="D59" s="125"/>
      <c r="E59" s="116"/>
      <c r="F59" s="116"/>
      <c r="G59" s="103"/>
    </row>
    <row r="60" spans="1:7" ht="12.9" customHeight="1" x14ac:dyDescent="0.2">
      <c r="A60" s="39"/>
      <c r="B60" s="114"/>
      <c r="C60" s="114"/>
      <c r="D60" s="114"/>
      <c r="E60" s="114"/>
      <c r="F60" s="114"/>
      <c r="G60" s="169"/>
    </row>
    <row r="61" spans="1:7" ht="12.9" customHeight="1" x14ac:dyDescent="0.2">
      <c r="A61" s="192" t="s">
        <v>68</v>
      </c>
      <c r="B61" s="191" t="s">
        <v>186</v>
      </c>
      <c r="C61" s="306"/>
      <c r="D61" s="121"/>
      <c r="E61" s="59"/>
      <c r="F61" s="59"/>
      <c r="G61" s="61"/>
    </row>
    <row r="62" spans="1:7" ht="12.9" customHeight="1" x14ac:dyDescent="0.2">
      <c r="A62" s="120" t="s">
        <v>70</v>
      </c>
      <c r="B62" s="312" t="s">
        <v>231</v>
      </c>
      <c r="C62" s="136" t="s">
        <v>105</v>
      </c>
      <c r="D62" s="129">
        <f>+D42</f>
        <v>13</v>
      </c>
      <c r="E62" s="130">
        <v>1</v>
      </c>
      <c r="F62" s="130">
        <f>EPPS!B19</f>
        <v>346.6</v>
      </c>
      <c r="G62" s="130">
        <f t="shared" ref="G62:G69" si="10">ROUND(F62*E62*D62,2)</f>
        <v>4505.8</v>
      </c>
    </row>
    <row r="63" spans="1:7" ht="12.9" customHeight="1" x14ac:dyDescent="0.2">
      <c r="A63" s="120" t="s">
        <v>106</v>
      </c>
      <c r="B63" s="312" t="s">
        <v>237</v>
      </c>
      <c r="C63" s="136" t="s">
        <v>105</v>
      </c>
      <c r="D63" s="129">
        <f>+D43</f>
        <v>16</v>
      </c>
      <c r="E63" s="130">
        <f>+E62</f>
        <v>1</v>
      </c>
      <c r="F63" s="130">
        <f>EPPS!B19</f>
        <v>346.6</v>
      </c>
      <c r="G63" s="130">
        <f t="shared" si="10"/>
        <v>5545.6</v>
      </c>
    </row>
    <row r="64" spans="1:7" ht="12.9" customHeight="1" x14ac:dyDescent="0.2">
      <c r="A64" s="120" t="s">
        <v>107</v>
      </c>
      <c r="B64" s="312" t="s">
        <v>236</v>
      </c>
      <c r="C64" s="136" t="s">
        <v>105</v>
      </c>
      <c r="D64" s="129">
        <f>'[4]Dimensionamiento equipos'!$M$16</f>
        <v>15</v>
      </c>
      <c r="E64" s="130">
        <f>+E62</f>
        <v>1</v>
      </c>
      <c r="F64" s="130">
        <f>EPPS!H19</f>
        <v>307.60000000000002</v>
      </c>
      <c r="G64" s="130">
        <f t="shared" si="10"/>
        <v>4614</v>
      </c>
    </row>
    <row r="65" spans="1:7" ht="12.9" customHeight="1" x14ac:dyDescent="0.2">
      <c r="A65" s="120" t="s">
        <v>194</v>
      </c>
      <c r="B65" s="312" t="s">
        <v>235</v>
      </c>
      <c r="C65" s="136" t="s">
        <v>105</v>
      </c>
      <c r="D65" s="129">
        <f>'[4]Dimensionamiento de MO'!$L$9</f>
        <v>19</v>
      </c>
      <c r="E65" s="130">
        <f>+E63</f>
        <v>1</v>
      </c>
      <c r="F65" s="130">
        <f>EPPS!K19</f>
        <v>307.60000000000002</v>
      </c>
      <c r="G65" s="130">
        <f t="shared" si="10"/>
        <v>5844.4</v>
      </c>
    </row>
    <row r="66" spans="1:7" ht="12.9" customHeight="1" x14ac:dyDescent="0.2">
      <c r="A66" s="120" t="s">
        <v>108</v>
      </c>
      <c r="B66" s="312" t="s">
        <v>187</v>
      </c>
      <c r="C66" s="136" t="s">
        <v>56</v>
      </c>
      <c r="D66" s="129">
        <v>1</v>
      </c>
      <c r="E66" s="130">
        <v>1</v>
      </c>
      <c r="F66" s="130">
        <v>1000</v>
      </c>
      <c r="G66" s="130">
        <f t="shared" si="10"/>
        <v>1000</v>
      </c>
    </row>
    <row r="67" spans="1:7" ht="12.9" customHeight="1" x14ac:dyDescent="0.2">
      <c r="A67" s="120" t="s">
        <v>195</v>
      </c>
      <c r="B67" s="312" t="s">
        <v>213</v>
      </c>
      <c r="C67" s="136" t="s">
        <v>105</v>
      </c>
      <c r="D67" s="129">
        <v>1</v>
      </c>
      <c r="E67" s="130">
        <f>+E62</f>
        <v>1</v>
      </c>
      <c r="F67" s="130">
        <v>250</v>
      </c>
      <c r="G67" s="130">
        <f>ROUND(F67*E67*D67,2)</f>
        <v>250</v>
      </c>
    </row>
    <row r="68" spans="1:7" ht="12.9" customHeight="1" x14ac:dyDescent="0.2">
      <c r="A68" s="120" t="s">
        <v>196</v>
      </c>
      <c r="B68" s="312" t="s">
        <v>188</v>
      </c>
      <c r="C68" s="136" t="s">
        <v>105</v>
      </c>
      <c r="D68" s="129">
        <f>D62+D63+D64+D65+D24</f>
        <v>67</v>
      </c>
      <c r="E68" s="130">
        <v>2</v>
      </c>
      <c r="F68" s="130">
        <v>180</v>
      </c>
      <c r="G68" s="130">
        <f t="shared" si="10"/>
        <v>24120</v>
      </c>
    </row>
    <row r="69" spans="1:7" ht="12.9" customHeight="1" x14ac:dyDescent="0.2">
      <c r="A69" s="120" t="s">
        <v>212</v>
      </c>
      <c r="B69" s="148" t="s">
        <v>191</v>
      </c>
      <c r="C69" s="301" t="s">
        <v>105</v>
      </c>
      <c r="D69" s="313">
        <v>1</v>
      </c>
      <c r="E69" s="130">
        <f>+E65</f>
        <v>1</v>
      </c>
      <c r="F69" s="101">
        <f>'Mat. Seguridad'!I27</f>
        <v>5229.3099999999995</v>
      </c>
      <c r="G69" s="101">
        <f t="shared" si="10"/>
        <v>5229.3100000000004</v>
      </c>
    </row>
    <row r="70" spans="1:7" ht="12.9" customHeight="1" x14ac:dyDescent="0.2">
      <c r="A70" s="58"/>
      <c r="B70" s="191" t="s">
        <v>192</v>
      </c>
      <c r="C70" s="306"/>
      <c r="D70" s="121"/>
      <c r="E70" s="59"/>
      <c r="F70" s="59"/>
      <c r="G70" s="190">
        <f>SUM(G62:G69)</f>
        <v>51109.11</v>
      </c>
    </row>
    <row r="71" spans="1:7" ht="12.9" customHeight="1" x14ac:dyDescent="0.2">
      <c r="A71" s="307"/>
      <c r="B71" s="114"/>
      <c r="C71" s="128"/>
      <c r="D71" s="125"/>
      <c r="E71" s="116"/>
      <c r="F71" s="116"/>
      <c r="G71" s="103"/>
    </row>
    <row r="72" spans="1:7" ht="12.9" customHeight="1" x14ac:dyDescent="0.2">
      <c r="A72" s="192" t="s">
        <v>197</v>
      </c>
      <c r="B72" s="191" t="s">
        <v>209</v>
      </c>
      <c r="C72" s="306"/>
      <c r="D72" s="121"/>
      <c r="E72" s="59"/>
      <c r="F72" s="59"/>
      <c r="G72" s="61"/>
    </row>
    <row r="73" spans="1:7" ht="12.75" customHeight="1" x14ac:dyDescent="0.2">
      <c r="A73" s="284" t="s">
        <v>210</v>
      </c>
      <c r="B73" s="285" t="str">
        <f>'Gestión Amb.'!B6</f>
        <v>Materiales de difusión</v>
      </c>
      <c r="C73" s="288" t="s">
        <v>56</v>
      </c>
      <c r="D73" s="286">
        <v>1</v>
      </c>
      <c r="E73" s="287">
        <v>1</v>
      </c>
      <c r="F73" s="287">
        <f>'Gestión Amb.'!G6</f>
        <v>1302.0833333333335</v>
      </c>
      <c r="G73" s="287">
        <f t="shared" ref="G73" si="11">ROUND(F73*E73*D73,2)</f>
        <v>1302.08</v>
      </c>
    </row>
    <row r="74" spans="1:7" ht="12.75" customHeight="1" x14ac:dyDescent="0.2">
      <c r="A74" s="284" t="s">
        <v>211</v>
      </c>
      <c r="B74" s="285" t="str">
        <f>'Gestión Amb.'!B7</f>
        <v>Reuniones  perodicas</v>
      </c>
      <c r="C74" s="288" t="s">
        <v>56</v>
      </c>
      <c r="D74" s="286">
        <v>1</v>
      </c>
      <c r="E74" s="287">
        <v>1</v>
      </c>
      <c r="F74" s="287">
        <f>'Gestión Amb.'!G7</f>
        <v>1041.6666666666667</v>
      </c>
      <c r="G74" s="287">
        <f t="shared" ref="G74" si="12">ROUND(F74*E74*D74,2)</f>
        <v>1041.67</v>
      </c>
    </row>
    <row r="75" spans="1:7" ht="12.9" customHeight="1" x14ac:dyDescent="0.2">
      <c r="A75" s="67"/>
      <c r="B75" s="191" t="s">
        <v>111</v>
      </c>
      <c r="C75" s="314"/>
      <c r="D75" s="195"/>
      <c r="E75" s="196"/>
      <c r="F75" s="196"/>
      <c r="G75" s="190">
        <f>SUM(G73:G74)</f>
        <v>2343.75</v>
      </c>
    </row>
    <row r="76" spans="1:7" ht="12.9" customHeight="1" x14ac:dyDescent="0.2">
      <c r="A76" s="307"/>
      <c r="B76" s="114"/>
      <c r="C76" s="128"/>
      <c r="D76" s="125"/>
      <c r="E76" s="116"/>
      <c r="F76" s="116"/>
      <c r="G76" s="103"/>
    </row>
    <row r="77" spans="1:7" ht="12.9" customHeight="1" x14ac:dyDescent="0.2">
      <c r="A77" s="192" t="s">
        <v>109</v>
      </c>
      <c r="B77" s="191" t="s">
        <v>113</v>
      </c>
      <c r="C77" s="306"/>
      <c r="D77" s="121"/>
      <c r="E77" s="59"/>
      <c r="F77" s="59"/>
      <c r="G77" s="61"/>
    </row>
    <row r="78" spans="1:7" ht="12.9" customHeight="1" x14ac:dyDescent="0.2">
      <c r="A78" s="131" t="s">
        <v>110</v>
      </c>
      <c r="B78" s="135" t="s">
        <v>324</v>
      </c>
      <c r="C78" s="132" t="s">
        <v>51</v>
      </c>
      <c r="D78" s="133">
        <v>1</v>
      </c>
      <c r="E78" s="106">
        <v>1</v>
      </c>
      <c r="F78" s="315">
        <v>5000</v>
      </c>
      <c r="G78" s="130">
        <f t="shared" ref="G78:G80" si="13">ROUND(F78*E78*D78,2)</f>
        <v>5000</v>
      </c>
    </row>
    <row r="79" spans="1:7" ht="12.9" customHeight="1" x14ac:dyDescent="0.2">
      <c r="A79" s="134" t="s">
        <v>193</v>
      </c>
      <c r="B79" s="135" t="s">
        <v>238</v>
      </c>
      <c r="C79" s="136" t="s">
        <v>51</v>
      </c>
      <c r="D79" s="129">
        <v>1</v>
      </c>
      <c r="E79" s="106">
        <v>1</v>
      </c>
      <c r="F79" s="130">
        <f>800</f>
        <v>800</v>
      </c>
      <c r="G79" s="130">
        <f t="shared" si="13"/>
        <v>800</v>
      </c>
    </row>
    <row r="80" spans="1:7" ht="12.9" customHeight="1" x14ac:dyDescent="0.2">
      <c r="A80" s="134" t="s">
        <v>198</v>
      </c>
      <c r="B80" s="137" t="s">
        <v>325</v>
      </c>
      <c r="C80" s="136" t="s">
        <v>116</v>
      </c>
      <c r="D80" s="129">
        <v>1</v>
      </c>
      <c r="E80" s="106">
        <v>1</v>
      </c>
      <c r="F80" s="130">
        <v>2000</v>
      </c>
      <c r="G80" s="130">
        <f t="shared" si="13"/>
        <v>2000</v>
      </c>
    </row>
    <row r="81" spans="1:7" ht="12.9" customHeight="1" x14ac:dyDescent="0.2">
      <c r="A81" s="134" t="s">
        <v>199</v>
      </c>
      <c r="B81" s="137" t="s">
        <v>118</v>
      </c>
      <c r="C81" s="304" t="s">
        <v>51</v>
      </c>
      <c r="D81" s="138">
        <v>2</v>
      </c>
      <c r="E81" s="106">
        <v>1</v>
      </c>
      <c r="F81" s="109">
        <v>35</v>
      </c>
      <c r="G81" s="109">
        <f t="shared" ref="G81:G84" si="14">ROUND(F81*E81*D81,2)</f>
        <v>70</v>
      </c>
    </row>
    <row r="82" spans="1:7" ht="12.9" customHeight="1" x14ac:dyDescent="0.2">
      <c r="A82" s="289" t="s">
        <v>200</v>
      </c>
      <c r="B82" s="137" t="s">
        <v>120</v>
      </c>
      <c r="C82" s="304" t="s">
        <v>51</v>
      </c>
      <c r="D82" s="138">
        <v>2</v>
      </c>
      <c r="E82" s="106">
        <v>1</v>
      </c>
      <c r="F82" s="109">
        <f>100</f>
        <v>100</v>
      </c>
      <c r="G82" s="109">
        <f t="shared" si="14"/>
        <v>200</v>
      </c>
    </row>
    <row r="83" spans="1:7" ht="12.9" customHeight="1" x14ac:dyDescent="0.2">
      <c r="A83" s="134" t="s">
        <v>245</v>
      </c>
      <c r="B83" s="137" t="s">
        <v>58</v>
      </c>
      <c r="C83" s="304" t="s">
        <v>51</v>
      </c>
      <c r="D83" s="138">
        <v>1</v>
      </c>
      <c r="E83" s="106">
        <v>1</v>
      </c>
      <c r="F83" s="109">
        <f>68</f>
        <v>68</v>
      </c>
      <c r="G83" s="109">
        <f t="shared" si="14"/>
        <v>68</v>
      </c>
    </row>
    <row r="84" spans="1:7" ht="12.9" customHeight="1" x14ac:dyDescent="0.2">
      <c r="A84" s="134" t="s">
        <v>246</v>
      </c>
      <c r="B84" s="137" t="s">
        <v>60</v>
      </c>
      <c r="C84" s="304" t="s">
        <v>51</v>
      </c>
      <c r="D84" s="138">
        <v>1</v>
      </c>
      <c r="E84" s="106">
        <v>1</v>
      </c>
      <c r="F84" s="109">
        <f>200</f>
        <v>200</v>
      </c>
      <c r="G84" s="109">
        <f t="shared" si="14"/>
        <v>200</v>
      </c>
    </row>
    <row r="85" spans="1:7" ht="12.9" customHeight="1" x14ac:dyDescent="0.2">
      <c r="A85" s="67"/>
      <c r="B85" s="191" t="s">
        <v>121</v>
      </c>
      <c r="C85" s="314"/>
      <c r="D85" s="195"/>
      <c r="E85" s="196"/>
      <c r="F85" s="190"/>
      <c r="G85" s="190">
        <f>SUM(G78:G84)</f>
        <v>8338</v>
      </c>
    </row>
    <row r="86" spans="1:7" ht="12.9" customHeight="1" x14ac:dyDescent="0.2">
      <c r="A86" s="308"/>
      <c r="B86" s="312"/>
      <c r="C86" s="136"/>
      <c r="D86" s="129"/>
      <c r="E86" s="130"/>
      <c r="F86" s="130"/>
      <c r="G86" s="130"/>
    </row>
    <row r="87" spans="1:7" ht="12.9" customHeight="1" x14ac:dyDescent="0.2">
      <c r="A87" s="192" t="s">
        <v>112</v>
      </c>
      <c r="B87" s="191" t="s">
        <v>123</v>
      </c>
      <c r="C87" s="306"/>
      <c r="D87" s="121"/>
      <c r="E87" s="59"/>
      <c r="F87" s="59"/>
      <c r="G87" s="61"/>
    </row>
    <row r="88" spans="1:7" ht="12.9" customHeight="1" x14ac:dyDescent="0.2">
      <c r="A88" s="120" t="s">
        <v>114</v>
      </c>
      <c r="B88" s="75" t="s">
        <v>66</v>
      </c>
      <c r="C88" s="304" t="s">
        <v>51</v>
      </c>
      <c r="D88" s="138">
        <v>1</v>
      </c>
      <c r="E88" s="109">
        <f>+E81</f>
        <v>1</v>
      </c>
      <c r="F88" s="109">
        <f>500</f>
        <v>500</v>
      </c>
      <c r="G88" s="109">
        <f t="shared" ref="G88:G92" si="15">ROUND(F88*E88*D88,2)</f>
        <v>500</v>
      </c>
    </row>
    <row r="89" spans="1:7" ht="12.9" customHeight="1" x14ac:dyDescent="0.2">
      <c r="A89" s="120" t="s">
        <v>115</v>
      </c>
      <c r="B89" s="75" t="s">
        <v>225</v>
      </c>
      <c r="C89" s="304" t="s">
        <v>51</v>
      </c>
      <c r="D89" s="138">
        <v>1</v>
      </c>
      <c r="E89" s="109">
        <f>+E88</f>
        <v>1</v>
      </c>
      <c r="F89" s="109">
        <f>500</f>
        <v>500</v>
      </c>
      <c r="G89" s="109">
        <f>ROUND(F89*E89*D89,2)</f>
        <v>500</v>
      </c>
    </row>
    <row r="90" spans="1:7" ht="12.9" customHeight="1" x14ac:dyDescent="0.2">
      <c r="A90" s="120" t="s">
        <v>117</v>
      </c>
      <c r="B90" s="75" t="s">
        <v>126</v>
      </c>
      <c r="C90" s="304" t="s">
        <v>51</v>
      </c>
      <c r="D90" s="138">
        <v>1</v>
      </c>
      <c r="E90" s="109">
        <f>+E89</f>
        <v>1</v>
      </c>
      <c r="F90" s="109">
        <f>1500</f>
        <v>1500</v>
      </c>
      <c r="G90" s="109">
        <f t="shared" si="15"/>
        <v>1500</v>
      </c>
    </row>
    <row r="91" spans="1:7" ht="12.9" customHeight="1" x14ac:dyDescent="0.2">
      <c r="A91" s="120" t="s">
        <v>119</v>
      </c>
      <c r="B91" s="75" t="s">
        <v>128</v>
      </c>
      <c r="C91" s="304" t="s">
        <v>51</v>
      </c>
      <c r="D91" s="138">
        <v>1</v>
      </c>
      <c r="E91" s="109">
        <f>+E90</f>
        <v>1</v>
      </c>
      <c r="F91" s="109">
        <f>1000</f>
        <v>1000</v>
      </c>
      <c r="G91" s="109">
        <f t="shared" si="15"/>
        <v>1000</v>
      </c>
    </row>
    <row r="92" spans="1:7" ht="12.9" customHeight="1" x14ac:dyDescent="0.2">
      <c r="A92" s="120" t="s">
        <v>226</v>
      </c>
      <c r="B92" s="75" t="s">
        <v>130</v>
      </c>
      <c r="C92" s="304" t="s">
        <v>51</v>
      </c>
      <c r="D92" s="138">
        <v>1</v>
      </c>
      <c r="E92" s="109">
        <f>+E91</f>
        <v>1</v>
      </c>
      <c r="F92" s="109">
        <f>750</f>
        <v>750</v>
      </c>
      <c r="G92" s="109">
        <f t="shared" si="15"/>
        <v>750</v>
      </c>
    </row>
    <row r="93" spans="1:7" ht="12.9" customHeight="1" x14ac:dyDescent="0.2">
      <c r="A93" s="67"/>
      <c r="B93" s="191" t="s">
        <v>131</v>
      </c>
      <c r="C93" s="314"/>
      <c r="D93" s="195"/>
      <c r="E93" s="196"/>
      <c r="F93" s="190"/>
      <c r="G93" s="190">
        <f>SUM(G88:G92)</f>
        <v>4250</v>
      </c>
    </row>
    <row r="94" spans="1:7" ht="12.9" customHeight="1" x14ac:dyDescent="0.2">
      <c r="A94" s="307"/>
      <c r="B94" s="114"/>
      <c r="C94" s="128"/>
      <c r="D94" s="125"/>
      <c r="E94" s="116"/>
      <c r="F94" s="116"/>
      <c r="G94" s="103"/>
    </row>
    <row r="95" spans="1:7" ht="12.9" customHeight="1" x14ac:dyDescent="0.2">
      <c r="A95" s="194" t="s">
        <v>122</v>
      </c>
      <c r="B95" s="191" t="s">
        <v>133</v>
      </c>
      <c r="C95" s="306"/>
      <c r="D95" s="121"/>
      <c r="E95" s="59"/>
      <c r="F95" s="59"/>
      <c r="G95" s="61"/>
    </row>
    <row r="96" spans="1:7" ht="12.9" customHeight="1" x14ac:dyDescent="0.2">
      <c r="A96" s="316" t="s">
        <v>124</v>
      </c>
      <c r="B96" s="104" t="s">
        <v>437</v>
      </c>
      <c r="C96" s="317" t="s">
        <v>51</v>
      </c>
      <c r="D96" s="146">
        <v>0.3</v>
      </c>
      <c r="E96" s="292">
        <v>1</v>
      </c>
      <c r="F96" s="139">
        <f>15000</f>
        <v>15000</v>
      </c>
      <c r="G96" s="139">
        <f t="shared" ref="G96:G106" si="16">ROUND(F96*E96*D96,2)</f>
        <v>4500</v>
      </c>
    </row>
    <row r="97" spans="1:7" ht="12.9" customHeight="1" x14ac:dyDescent="0.2">
      <c r="A97" s="308" t="s">
        <v>177</v>
      </c>
      <c r="B97" s="135" t="s">
        <v>438</v>
      </c>
      <c r="C97" s="305" t="s">
        <v>51</v>
      </c>
      <c r="D97" s="290">
        <v>0.3</v>
      </c>
      <c r="E97" s="293">
        <v>1</v>
      </c>
      <c r="F97" s="113">
        <f>6000</f>
        <v>6000</v>
      </c>
      <c r="G97" s="113">
        <f t="shared" si="16"/>
        <v>1800</v>
      </c>
    </row>
    <row r="98" spans="1:7" ht="12.9" customHeight="1" x14ac:dyDescent="0.2">
      <c r="A98" s="308" t="s">
        <v>125</v>
      </c>
      <c r="B98" s="135" t="s">
        <v>135</v>
      </c>
      <c r="C98" s="305" t="s">
        <v>51</v>
      </c>
      <c r="D98" s="290">
        <v>0.3</v>
      </c>
      <c r="E98" s="293">
        <v>1</v>
      </c>
      <c r="F98" s="113">
        <f>4000</f>
        <v>4000</v>
      </c>
      <c r="G98" s="113">
        <f t="shared" si="16"/>
        <v>1200</v>
      </c>
    </row>
    <row r="99" spans="1:7" ht="12.9" customHeight="1" x14ac:dyDescent="0.2">
      <c r="A99" s="308" t="s">
        <v>127</v>
      </c>
      <c r="B99" s="135" t="s">
        <v>326</v>
      </c>
      <c r="C99" s="305" t="s">
        <v>51</v>
      </c>
      <c r="D99" s="290">
        <v>0.3</v>
      </c>
      <c r="E99" s="293">
        <v>1</v>
      </c>
      <c r="F99" s="113">
        <f>3500</f>
        <v>3500</v>
      </c>
      <c r="G99" s="113">
        <f t="shared" si="16"/>
        <v>1050</v>
      </c>
    </row>
    <row r="100" spans="1:7" ht="12.9" customHeight="1" x14ac:dyDescent="0.2">
      <c r="A100" s="308" t="s">
        <v>129</v>
      </c>
      <c r="B100" s="135" t="s">
        <v>439</v>
      </c>
      <c r="C100" s="305" t="s">
        <v>51</v>
      </c>
      <c r="D100" s="290">
        <v>0.3</v>
      </c>
      <c r="E100" s="293">
        <v>1</v>
      </c>
      <c r="F100" s="113">
        <f>6000</f>
        <v>6000</v>
      </c>
      <c r="G100" s="113">
        <f t="shared" si="16"/>
        <v>1800</v>
      </c>
    </row>
    <row r="101" spans="1:7" ht="12.9" customHeight="1" x14ac:dyDescent="0.2">
      <c r="A101" s="308" t="s">
        <v>203</v>
      </c>
      <c r="B101" s="137" t="s">
        <v>440</v>
      </c>
      <c r="C101" s="310" t="s">
        <v>51</v>
      </c>
      <c r="D101" s="290">
        <v>0.3</v>
      </c>
      <c r="E101" s="293">
        <v>1</v>
      </c>
      <c r="F101" s="76">
        <f>2500</f>
        <v>2500</v>
      </c>
      <c r="G101" s="76">
        <f t="shared" si="16"/>
        <v>750</v>
      </c>
    </row>
    <row r="102" spans="1:7" ht="12.9" customHeight="1" x14ac:dyDescent="0.2">
      <c r="A102" s="308" t="s">
        <v>204</v>
      </c>
      <c r="B102" s="137" t="s">
        <v>137</v>
      </c>
      <c r="C102" s="310" t="s">
        <v>0</v>
      </c>
      <c r="D102" s="254">
        <v>1</v>
      </c>
      <c r="E102" s="331">
        <v>0.52</v>
      </c>
      <c r="F102" s="76">
        <f>SUM(G96:G101)</f>
        <v>11100</v>
      </c>
      <c r="G102" s="76">
        <f>F102*E102</f>
        <v>5772</v>
      </c>
    </row>
    <row r="103" spans="1:7" ht="12.9" customHeight="1" x14ac:dyDescent="0.2">
      <c r="A103" s="308" t="s">
        <v>205</v>
      </c>
      <c r="B103" s="140" t="s">
        <v>138</v>
      </c>
      <c r="C103" s="311" t="s">
        <v>51</v>
      </c>
      <c r="D103" s="291">
        <v>0.2</v>
      </c>
      <c r="E103" s="293">
        <v>1</v>
      </c>
      <c r="F103" s="127">
        <f>2500</f>
        <v>2500</v>
      </c>
      <c r="G103" s="76">
        <f t="shared" si="16"/>
        <v>500</v>
      </c>
    </row>
    <row r="104" spans="1:7" ht="12.9" customHeight="1" x14ac:dyDescent="0.2">
      <c r="A104" s="308" t="s">
        <v>206</v>
      </c>
      <c r="B104" s="140" t="s">
        <v>139</v>
      </c>
      <c r="C104" s="311" t="s">
        <v>51</v>
      </c>
      <c r="D104" s="291">
        <v>0.3</v>
      </c>
      <c r="E104" s="293">
        <v>1</v>
      </c>
      <c r="F104" s="127">
        <f>600</f>
        <v>600</v>
      </c>
      <c r="G104" s="76">
        <f t="shared" si="16"/>
        <v>180</v>
      </c>
    </row>
    <row r="105" spans="1:7" ht="12.9" customHeight="1" x14ac:dyDescent="0.2">
      <c r="A105" s="308" t="s">
        <v>207</v>
      </c>
      <c r="B105" s="140" t="s">
        <v>140</v>
      </c>
      <c r="C105" s="311" t="s">
        <v>51</v>
      </c>
      <c r="D105" s="291">
        <v>0.2</v>
      </c>
      <c r="E105" s="293">
        <v>1</v>
      </c>
      <c r="F105" s="127">
        <f>500</f>
        <v>500</v>
      </c>
      <c r="G105" s="76">
        <f t="shared" si="16"/>
        <v>100</v>
      </c>
    </row>
    <row r="106" spans="1:7" ht="12.9" customHeight="1" x14ac:dyDescent="0.2">
      <c r="A106" s="308" t="s">
        <v>208</v>
      </c>
      <c r="B106" s="140" t="s">
        <v>141</v>
      </c>
      <c r="C106" s="311" t="s">
        <v>51</v>
      </c>
      <c r="D106" s="291">
        <v>0.2</v>
      </c>
      <c r="E106" s="332">
        <v>1</v>
      </c>
      <c r="F106" s="127">
        <f>1000</f>
        <v>1000</v>
      </c>
      <c r="G106" s="76">
        <f t="shared" si="16"/>
        <v>200</v>
      </c>
    </row>
    <row r="107" spans="1:7" ht="12.9" customHeight="1" x14ac:dyDescent="0.2">
      <c r="A107" s="58"/>
      <c r="B107" s="191" t="s">
        <v>142</v>
      </c>
      <c r="C107" s="306"/>
      <c r="D107" s="121"/>
      <c r="E107" s="59"/>
      <c r="F107" s="59"/>
      <c r="G107" s="190">
        <f>SUM(G96:G106)</f>
        <v>17852</v>
      </c>
    </row>
    <row r="108" spans="1:7" ht="12.9" customHeight="1" x14ac:dyDescent="0.2">
      <c r="A108" s="307"/>
      <c r="B108" s="40"/>
      <c r="C108" s="318"/>
      <c r="D108" s="141"/>
      <c r="E108" s="142"/>
      <c r="F108" s="142"/>
      <c r="G108" s="143"/>
    </row>
    <row r="109" spans="1:7" ht="12.9" customHeight="1" x14ac:dyDescent="0.2">
      <c r="A109" s="192" t="s">
        <v>132</v>
      </c>
      <c r="B109" s="191" t="s">
        <v>181</v>
      </c>
      <c r="C109" s="306"/>
      <c r="D109" s="121"/>
      <c r="E109" s="59"/>
      <c r="F109" s="59"/>
      <c r="G109" s="61"/>
    </row>
    <row r="110" spans="1:7" ht="12.9" customHeight="1" x14ac:dyDescent="0.2">
      <c r="A110" s="120" t="s">
        <v>134</v>
      </c>
      <c r="B110" s="118" t="s">
        <v>184</v>
      </c>
      <c r="C110" s="310" t="s">
        <v>51</v>
      </c>
      <c r="D110" s="119">
        <v>1</v>
      </c>
      <c r="E110" s="76">
        <v>1</v>
      </c>
      <c r="F110" s="76">
        <f>5%/12*(C5+1)*(1+0.1+0.06)*10%</f>
        <v>1014.0515493258499</v>
      </c>
      <c r="G110" s="101">
        <f>ROUND(F110*E110*D110,2)</f>
        <v>1014.05</v>
      </c>
    </row>
    <row r="111" spans="1:7" ht="12.9" customHeight="1" x14ac:dyDescent="0.2">
      <c r="A111" s="120" t="s">
        <v>136</v>
      </c>
      <c r="B111" s="300" t="s">
        <v>146</v>
      </c>
      <c r="C111" s="301" t="s">
        <v>56</v>
      </c>
      <c r="D111" s="138">
        <v>1</v>
      </c>
      <c r="E111" s="319">
        <v>5.0000000000000002E-5</v>
      </c>
      <c r="F111" s="101">
        <f>+C5</f>
        <v>2098036.6882603788</v>
      </c>
      <c r="G111" s="101">
        <f>ROUND(F111*E111*D111,2)</f>
        <v>104.9</v>
      </c>
    </row>
    <row r="112" spans="1:7" ht="12.9" customHeight="1" x14ac:dyDescent="0.2">
      <c r="A112" s="58"/>
      <c r="B112" s="191" t="s">
        <v>147</v>
      </c>
      <c r="C112" s="306"/>
      <c r="D112" s="121"/>
      <c r="E112" s="59"/>
      <c r="F112" s="59"/>
      <c r="G112" s="190">
        <f>SUM(G110:G111)</f>
        <v>1118.95</v>
      </c>
    </row>
    <row r="113" spans="1:7" ht="12.9" customHeight="1" x14ac:dyDescent="0.2">
      <c r="A113" s="307"/>
      <c r="B113" s="40"/>
      <c r="C113" s="318"/>
      <c r="D113" s="141"/>
      <c r="E113" s="142"/>
      <c r="F113" s="142"/>
      <c r="G113" s="143"/>
    </row>
    <row r="114" spans="1:7" ht="12.9" customHeight="1" x14ac:dyDescent="0.2">
      <c r="A114" s="192" t="s">
        <v>143</v>
      </c>
      <c r="B114" s="191" t="s">
        <v>148</v>
      </c>
      <c r="C114" s="306"/>
      <c r="D114" s="121"/>
      <c r="E114" s="59"/>
      <c r="F114" s="59"/>
      <c r="G114" s="61"/>
    </row>
    <row r="115" spans="1:7" ht="12.9" customHeight="1" x14ac:dyDescent="0.2">
      <c r="A115" s="299" t="s">
        <v>144</v>
      </c>
      <c r="B115" s="145" t="s">
        <v>149</v>
      </c>
      <c r="C115" s="320"/>
      <c r="D115" s="146"/>
      <c r="E115" s="147"/>
      <c r="F115" s="139"/>
      <c r="G115" s="139">
        <f>+Seguros!M14</f>
        <v>124.41</v>
      </c>
    </row>
    <row r="116" spans="1:7" ht="12.9" customHeight="1" x14ac:dyDescent="0.2">
      <c r="A116" s="107" t="s">
        <v>145</v>
      </c>
      <c r="B116" s="75" t="s">
        <v>150</v>
      </c>
      <c r="C116" s="321"/>
      <c r="D116" s="254"/>
      <c r="E116" s="255"/>
      <c r="F116" s="76"/>
      <c r="G116" s="76">
        <f>+Seguros!M20</f>
        <v>3234.5</v>
      </c>
    </row>
    <row r="117" spans="1:7" ht="12.9" customHeight="1" x14ac:dyDescent="0.2">
      <c r="A117" s="107" t="s">
        <v>182</v>
      </c>
      <c r="B117" s="75" t="s">
        <v>151</v>
      </c>
      <c r="C117" s="321"/>
      <c r="D117" s="254"/>
      <c r="E117" s="255"/>
      <c r="F117" s="76"/>
      <c r="G117" s="76">
        <f>+Seguros!M26</f>
        <v>565.80999999999995</v>
      </c>
    </row>
    <row r="118" spans="1:7" ht="12.9" customHeight="1" x14ac:dyDescent="0.2">
      <c r="A118" s="107" t="s">
        <v>183</v>
      </c>
      <c r="B118" s="75" t="s">
        <v>152</v>
      </c>
      <c r="C118" s="321"/>
      <c r="D118" s="254"/>
      <c r="E118" s="255"/>
      <c r="F118" s="76"/>
      <c r="G118" s="76">
        <f>+Seguros!M32</f>
        <v>673.83</v>
      </c>
    </row>
    <row r="119" spans="1:7" ht="12.9" customHeight="1" x14ac:dyDescent="0.2">
      <c r="A119" s="107" t="s">
        <v>201</v>
      </c>
      <c r="B119" s="75" t="s">
        <v>153</v>
      </c>
      <c r="C119" s="321"/>
      <c r="D119" s="254"/>
      <c r="E119" s="255"/>
      <c r="F119" s="76"/>
      <c r="G119" s="76">
        <f>+Seguros!M41</f>
        <v>1447.6399999999999</v>
      </c>
    </row>
    <row r="120" spans="1:7" ht="12.9" customHeight="1" x14ac:dyDescent="0.2">
      <c r="A120" s="107" t="s">
        <v>202</v>
      </c>
      <c r="B120" s="148" t="s">
        <v>154</v>
      </c>
      <c r="C120" s="322"/>
      <c r="D120" s="149"/>
      <c r="E120" s="150"/>
      <c r="F120" s="123"/>
      <c r="G120" s="123">
        <f>+Seguros!M46</f>
        <v>181.39</v>
      </c>
    </row>
    <row r="121" spans="1:7" ht="12.9" customHeight="1" x14ac:dyDescent="0.2">
      <c r="A121" s="67"/>
      <c r="B121" s="193" t="s">
        <v>155</v>
      </c>
      <c r="C121" s="73"/>
      <c r="D121" s="144"/>
      <c r="E121" s="72"/>
      <c r="F121" s="72"/>
      <c r="G121" s="197">
        <f>SUM(G115:G120)</f>
        <v>6227.5800000000008</v>
      </c>
    </row>
    <row r="122" spans="1:7" ht="12.9" customHeight="1" x14ac:dyDescent="0.2">
      <c r="A122" s="45"/>
      <c r="B122" s="46"/>
      <c r="C122" s="47"/>
      <c r="D122" s="141"/>
      <c r="E122" s="142"/>
      <c r="F122" s="142"/>
      <c r="G122" s="143"/>
    </row>
    <row r="123" spans="1:7" s="44" customFormat="1" ht="12.9" customHeight="1" x14ac:dyDescent="0.3">
      <c r="A123" s="214" t="s">
        <v>156</v>
      </c>
      <c r="B123" s="215"/>
      <c r="C123" s="216"/>
      <c r="D123" s="217"/>
      <c r="E123" s="218"/>
      <c r="F123" s="221" t="s">
        <v>427</v>
      </c>
      <c r="G123" s="219">
        <f>ROUND(G121+G112+G107+G93+G85+G75+G70+G58+G53+G45+G39,2)</f>
        <v>377703.31</v>
      </c>
    </row>
    <row r="126" spans="1:7" x14ac:dyDescent="0.2">
      <c r="G126" s="248"/>
    </row>
  </sheetData>
  <mergeCells count="7">
    <mergeCell ref="A2:G2"/>
    <mergeCell ref="C4:D4"/>
    <mergeCell ref="C5:D5"/>
    <mergeCell ref="A6:A7"/>
    <mergeCell ref="B6:B7"/>
    <mergeCell ref="C6:C7"/>
    <mergeCell ref="A3:G3"/>
  </mergeCells>
  <printOptions horizontalCentered="1"/>
  <pageMargins left="0.27559055118110237" right="0.27559055118110237" top="0.59055118110236227" bottom="0.39370078740157483" header="0.31496062992125984" footer="0.31496062992125984"/>
  <pageSetup paperSize="9" scale="80" fitToHeight="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I27"/>
  <sheetViews>
    <sheetView showGridLines="0" view="pageBreakPreview" zoomScale="85" zoomScaleNormal="100" zoomScaleSheetLayoutView="85" workbookViewId="0">
      <selection activeCell="H13" sqref="H13"/>
    </sheetView>
  </sheetViews>
  <sheetFormatPr baseColWidth="10" defaultRowHeight="14.4" x14ac:dyDescent="0.3"/>
  <cols>
    <col min="2" max="2" width="58.88671875" bestFit="1" customWidth="1"/>
    <col min="3" max="3" width="11.44140625" style="247"/>
    <col min="9" max="9" width="12.109375" customWidth="1"/>
  </cols>
  <sheetData>
    <row r="3" spans="1:9" ht="18.600000000000001" x14ac:dyDescent="0.3">
      <c r="A3" s="446" t="s">
        <v>299</v>
      </c>
      <c r="B3" s="446"/>
      <c r="C3" s="446"/>
      <c r="D3" s="446"/>
      <c r="E3" s="446"/>
      <c r="F3" s="446"/>
      <c r="G3" s="446"/>
      <c r="H3" s="446"/>
      <c r="I3" s="446"/>
    </row>
    <row r="4" spans="1:9" x14ac:dyDescent="0.3">
      <c r="B4" s="390"/>
    </row>
    <row r="5" spans="1:9" s="247" customFormat="1" x14ac:dyDescent="0.3">
      <c r="A5" s="271" t="s">
        <v>212</v>
      </c>
      <c r="B5" s="272" t="s">
        <v>273</v>
      </c>
      <c r="C5" s="272" t="s">
        <v>274</v>
      </c>
      <c r="D5" s="272" t="s">
        <v>239</v>
      </c>
      <c r="E5" s="272" t="s">
        <v>275</v>
      </c>
      <c r="F5" s="272" t="s">
        <v>276</v>
      </c>
      <c r="G5" s="272" t="s">
        <v>277</v>
      </c>
      <c r="H5" s="272" t="s">
        <v>278</v>
      </c>
      <c r="I5" s="272" t="s">
        <v>240</v>
      </c>
    </row>
    <row r="6" spans="1:9" x14ac:dyDescent="0.3">
      <c r="A6" s="266"/>
      <c r="B6" s="267"/>
      <c r="C6" s="270"/>
      <c r="D6" s="268"/>
      <c r="E6" s="268"/>
      <c r="F6" s="268"/>
      <c r="G6" s="268"/>
      <c r="H6" s="268"/>
      <c r="I6" s="268"/>
    </row>
    <row r="7" spans="1:9" s="264" customFormat="1" x14ac:dyDescent="0.3">
      <c r="A7" s="273" t="s">
        <v>252</v>
      </c>
      <c r="B7" s="274" t="s">
        <v>300</v>
      </c>
      <c r="C7" s="275"/>
      <c r="D7" s="273"/>
      <c r="E7" s="273"/>
      <c r="F7" s="273"/>
      <c r="G7" s="273"/>
      <c r="H7" s="273"/>
      <c r="I7" s="273"/>
    </row>
    <row r="8" spans="1:9" s="264" customFormat="1" x14ac:dyDescent="0.3">
      <c r="A8" s="273"/>
      <c r="B8" s="274" t="s">
        <v>279</v>
      </c>
      <c r="C8" s="275" t="s">
        <v>298</v>
      </c>
      <c r="D8" s="276">
        <v>3</v>
      </c>
      <c r="E8" s="276">
        <v>2</v>
      </c>
      <c r="F8" s="276">
        <v>2</v>
      </c>
      <c r="G8" s="409">
        <v>1.6875000000000002</v>
      </c>
      <c r="H8" s="276">
        <v>1</v>
      </c>
      <c r="I8" s="276">
        <f>ROUND(D8*E8*F8*G8/H8,2)</f>
        <v>20.25</v>
      </c>
    </row>
    <row r="9" spans="1:9" s="264" customFormat="1" x14ac:dyDescent="0.3">
      <c r="A9" s="273"/>
      <c r="B9" s="274" t="s">
        <v>280</v>
      </c>
      <c r="C9" s="275" t="s">
        <v>254</v>
      </c>
      <c r="D9" s="276">
        <v>30</v>
      </c>
      <c r="E9" s="276">
        <v>2</v>
      </c>
      <c r="F9" s="276">
        <v>2</v>
      </c>
      <c r="G9" s="409">
        <v>2.0833333333333335</v>
      </c>
      <c r="H9" s="276">
        <v>1</v>
      </c>
      <c r="I9" s="276">
        <f>ROUND(D9*E9*F9*G9/H9,2)</f>
        <v>250</v>
      </c>
    </row>
    <row r="10" spans="1:9" s="264" customFormat="1" x14ac:dyDescent="0.3">
      <c r="A10" s="273" t="s">
        <v>255</v>
      </c>
      <c r="B10" s="274" t="s">
        <v>281</v>
      </c>
      <c r="C10" s="275"/>
      <c r="D10" s="276"/>
      <c r="E10" s="276"/>
      <c r="F10" s="276"/>
      <c r="G10" s="283"/>
      <c r="H10" s="276"/>
      <c r="I10" s="276"/>
    </row>
    <row r="11" spans="1:9" s="264" customFormat="1" x14ac:dyDescent="0.3">
      <c r="A11" s="273"/>
      <c r="B11" s="274" t="s">
        <v>282</v>
      </c>
      <c r="C11" s="275" t="s">
        <v>254</v>
      </c>
      <c r="D11" s="276">
        <v>100</v>
      </c>
      <c r="E11" s="276">
        <v>1</v>
      </c>
      <c r="F11" s="276">
        <v>1</v>
      </c>
      <c r="G11" s="409">
        <v>4.6875</v>
      </c>
      <c r="H11" s="276">
        <v>1</v>
      </c>
      <c r="I11" s="276">
        <f t="shared" ref="I11:I26" si="0">ROUND(D11*E11*F11*G11/H11,2)</f>
        <v>468.75</v>
      </c>
    </row>
    <row r="12" spans="1:9" s="264" customFormat="1" x14ac:dyDescent="0.3">
      <c r="A12" s="273"/>
      <c r="B12" s="274" t="s">
        <v>283</v>
      </c>
      <c r="C12" s="275" t="s">
        <v>298</v>
      </c>
      <c r="D12" s="276">
        <v>4</v>
      </c>
      <c r="E12" s="276">
        <v>1</v>
      </c>
      <c r="F12" s="276">
        <v>1</v>
      </c>
      <c r="G12" s="409">
        <v>4.6875</v>
      </c>
      <c r="H12" s="276">
        <v>1</v>
      </c>
      <c r="I12" s="276">
        <f t="shared" si="0"/>
        <v>18.75</v>
      </c>
    </row>
    <row r="13" spans="1:9" s="264" customFormat="1" x14ac:dyDescent="0.3">
      <c r="A13" s="273" t="s">
        <v>256</v>
      </c>
      <c r="B13" s="274" t="s">
        <v>284</v>
      </c>
      <c r="C13" s="275" t="s">
        <v>298</v>
      </c>
      <c r="D13" s="276">
        <v>4</v>
      </c>
      <c r="E13" s="276">
        <v>1</v>
      </c>
      <c r="F13" s="276">
        <v>1</v>
      </c>
      <c r="G13" s="409">
        <v>80.729166666666671</v>
      </c>
      <c r="H13" s="276">
        <v>1</v>
      </c>
      <c r="I13" s="276">
        <f t="shared" si="0"/>
        <v>322.92</v>
      </c>
    </row>
    <row r="14" spans="1:9" s="264" customFormat="1" x14ac:dyDescent="0.3">
      <c r="A14" s="273" t="s">
        <v>257</v>
      </c>
      <c r="B14" s="274" t="s">
        <v>285</v>
      </c>
      <c r="C14" s="275" t="s">
        <v>258</v>
      </c>
      <c r="D14" s="276">
        <v>1</v>
      </c>
      <c r="E14" s="276">
        <v>1</v>
      </c>
      <c r="F14" s="276">
        <v>4</v>
      </c>
      <c r="G14" s="409">
        <v>13.776041666666666</v>
      </c>
      <c r="H14" s="276">
        <v>1</v>
      </c>
      <c r="I14" s="276">
        <f t="shared" si="0"/>
        <v>55.1</v>
      </c>
    </row>
    <row r="15" spans="1:9" s="264" customFormat="1" x14ac:dyDescent="0.3">
      <c r="A15" s="273" t="s">
        <v>259</v>
      </c>
      <c r="B15" s="274" t="s">
        <v>286</v>
      </c>
      <c r="C15" s="275" t="s">
        <v>258</v>
      </c>
      <c r="D15" s="276">
        <v>1</v>
      </c>
      <c r="E15" s="276">
        <v>2</v>
      </c>
      <c r="F15" s="276">
        <v>4</v>
      </c>
      <c r="G15" s="409">
        <v>13.776041666666666</v>
      </c>
      <c r="H15" s="276">
        <v>1</v>
      </c>
      <c r="I15" s="276">
        <f t="shared" si="0"/>
        <v>110.21</v>
      </c>
    </row>
    <row r="16" spans="1:9" s="264" customFormat="1" x14ac:dyDescent="0.3">
      <c r="A16" s="273" t="s">
        <v>260</v>
      </c>
      <c r="B16" s="274" t="s">
        <v>287</v>
      </c>
      <c r="C16" s="275" t="s">
        <v>253</v>
      </c>
      <c r="D16" s="276">
        <v>2</v>
      </c>
      <c r="E16" s="276">
        <v>1</v>
      </c>
      <c r="F16" s="276">
        <v>2</v>
      </c>
      <c r="G16" s="409">
        <v>20.833333333333336</v>
      </c>
      <c r="H16" s="276">
        <v>1</v>
      </c>
      <c r="I16" s="276">
        <f t="shared" si="0"/>
        <v>83.33</v>
      </c>
    </row>
    <row r="17" spans="1:9" s="264" customFormat="1" x14ac:dyDescent="0.3">
      <c r="A17" s="273" t="s">
        <v>261</v>
      </c>
      <c r="B17" s="274" t="s">
        <v>288</v>
      </c>
      <c r="C17" s="275" t="s">
        <v>298</v>
      </c>
      <c r="D17" s="276">
        <f>300/5</f>
        <v>60</v>
      </c>
      <c r="E17" s="276">
        <v>1</v>
      </c>
      <c r="F17" s="276">
        <v>4</v>
      </c>
      <c r="G17" s="409">
        <v>5.703125</v>
      </c>
      <c r="H17" s="276">
        <v>1</v>
      </c>
      <c r="I17" s="276">
        <f t="shared" si="0"/>
        <v>1368.75</v>
      </c>
    </row>
    <row r="18" spans="1:9" s="264" customFormat="1" x14ac:dyDescent="0.3">
      <c r="A18" s="273" t="s">
        <v>262</v>
      </c>
      <c r="B18" s="274" t="s">
        <v>289</v>
      </c>
      <c r="C18" s="275" t="s">
        <v>298</v>
      </c>
      <c r="D18" s="276">
        <v>25</v>
      </c>
      <c r="E18" s="276">
        <v>2</v>
      </c>
      <c r="F18" s="276">
        <v>4</v>
      </c>
      <c r="G18" s="409">
        <v>3.90625</v>
      </c>
      <c r="H18" s="276">
        <v>1</v>
      </c>
      <c r="I18" s="276">
        <f t="shared" si="0"/>
        <v>781.25</v>
      </c>
    </row>
    <row r="19" spans="1:9" s="264" customFormat="1" x14ac:dyDescent="0.3">
      <c r="A19" s="273" t="s">
        <v>263</v>
      </c>
      <c r="B19" s="274" t="s">
        <v>290</v>
      </c>
      <c r="C19" s="275" t="s">
        <v>298</v>
      </c>
      <c r="D19" s="276">
        <v>10</v>
      </c>
      <c r="E19" s="276">
        <v>1</v>
      </c>
      <c r="F19" s="276">
        <v>4</v>
      </c>
      <c r="G19" s="409">
        <v>9.1145833333333339</v>
      </c>
      <c r="H19" s="276">
        <v>1</v>
      </c>
      <c r="I19" s="276">
        <f t="shared" si="0"/>
        <v>364.58</v>
      </c>
    </row>
    <row r="20" spans="1:9" s="264" customFormat="1" x14ac:dyDescent="0.3">
      <c r="A20" s="273" t="s">
        <v>264</v>
      </c>
      <c r="B20" s="274" t="s">
        <v>291</v>
      </c>
      <c r="C20" s="275" t="s">
        <v>298</v>
      </c>
      <c r="D20" s="276">
        <v>8</v>
      </c>
      <c r="E20" s="276">
        <v>1</v>
      </c>
      <c r="F20" s="276">
        <v>4</v>
      </c>
      <c r="G20" s="409">
        <v>3.90625</v>
      </c>
      <c r="H20" s="276">
        <v>1</v>
      </c>
      <c r="I20" s="276">
        <f t="shared" si="0"/>
        <v>125</v>
      </c>
    </row>
    <row r="21" spans="1:9" s="264" customFormat="1" x14ac:dyDescent="0.3">
      <c r="A21" s="273" t="s">
        <v>265</v>
      </c>
      <c r="B21" s="274" t="s">
        <v>292</v>
      </c>
      <c r="C21" s="275" t="s">
        <v>298</v>
      </c>
      <c r="D21" s="276">
        <v>1</v>
      </c>
      <c r="E21" s="276">
        <v>1</v>
      </c>
      <c r="F21" s="276">
        <v>1</v>
      </c>
      <c r="G21" s="409">
        <v>390.625</v>
      </c>
      <c r="H21" s="276">
        <v>1</v>
      </c>
      <c r="I21" s="276">
        <f t="shared" si="0"/>
        <v>390.63</v>
      </c>
    </row>
    <row r="22" spans="1:9" s="264" customFormat="1" x14ac:dyDescent="0.3">
      <c r="A22" s="273" t="s">
        <v>266</v>
      </c>
      <c r="B22" s="274" t="s">
        <v>293</v>
      </c>
      <c r="C22" s="275" t="s">
        <v>298</v>
      </c>
      <c r="D22" s="276">
        <v>10</v>
      </c>
      <c r="E22" s="276">
        <v>1</v>
      </c>
      <c r="F22" s="276">
        <v>4</v>
      </c>
      <c r="G22" s="409">
        <v>9.1145833333333339</v>
      </c>
      <c r="H22" s="276">
        <v>1</v>
      </c>
      <c r="I22" s="276">
        <f t="shared" si="0"/>
        <v>364.58</v>
      </c>
    </row>
    <row r="23" spans="1:9" s="264" customFormat="1" x14ac:dyDescent="0.3">
      <c r="A23" s="273" t="s">
        <v>267</v>
      </c>
      <c r="B23" s="274" t="s">
        <v>294</v>
      </c>
      <c r="C23" s="275" t="s">
        <v>298</v>
      </c>
      <c r="D23" s="276">
        <v>2</v>
      </c>
      <c r="E23" s="276">
        <v>1</v>
      </c>
      <c r="F23" s="276">
        <v>4</v>
      </c>
      <c r="G23" s="409">
        <v>18.229166666666668</v>
      </c>
      <c r="H23" s="276">
        <v>1</v>
      </c>
      <c r="I23" s="276">
        <f t="shared" si="0"/>
        <v>145.83000000000001</v>
      </c>
    </row>
    <row r="24" spans="1:9" s="264" customFormat="1" x14ac:dyDescent="0.3">
      <c r="A24" s="273" t="s">
        <v>268</v>
      </c>
      <c r="B24" s="274" t="s">
        <v>295</v>
      </c>
      <c r="C24" s="275" t="s">
        <v>298</v>
      </c>
      <c r="D24" s="276">
        <v>2</v>
      </c>
      <c r="E24" s="276">
        <v>1</v>
      </c>
      <c r="F24" s="276">
        <v>4</v>
      </c>
      <c r="G24" s="409">
        <v>10.416666666666668</v>
      </c>
      <c r="H24" s="276">
        <v>1</v>
      </c>
      <c r="I24" s="276">
        <f t="shared" si="0"/>
        <v>83.33</v>
      </c>
    </row>
    <row r="25" spans="1:9" s="264" customFormat="1" x14ac:dyDescent="0.3">
      <c r="A25" s="273" t="s">
        <v>269</v>
      </c>
      <c r="B25" s="274" t="s">
        <v>296</v>
      </c>
      <c r="C25" s="275" t="s">
        <v>298</v>
      </c>
      <c r="D25" s="276">
        <v>1</v>
      </c>
      <c r="E25" s="276">
        <v>1</v>
      </c>
      <c r="F25" s="276">
        <v>2</v>
      </c>
      <c r="G25" s="409">
        <v>85.9375</v>
      </c>
      <c r="H25" s="276">
        <v>1</v>
      </c>
      <c r="I25" s="276">
        <f t="shared" si="0"/>
        <v>171.88</v>
      </c>
    </row>
    <row r="26" spans="1:9" s="264" customFormat="1" x14ac:dyDescent="0.3">
      <c r="A26" s="273" t="s">
        <v>270</v>
      </c>
      <c r="B26" s="274" t="s">
        <v>297</v>
      </c>
      <c r="C26" s="275" t="s">
        <v>254</v>
      </c>
      <c r="D26" s="276">
        <v>100</v>
      </c>
      <c r="E26" s="276">
        <v>1</v>
      </c>
      <c r="F26" s="276">
        <v>1</v>
      </c>
      <c r="G26" s="409">
        <v>1.0416666666666667</v>
      </c>
      <c r="H26" s="276">
        <v>1</v>
      </c>
      <c r="I26" s="276">
        <f t="shared" si="0"/>
        <v>104.17</v>
      </c>
    </row>
    <row r="27" spans="1:9" x14ac:dyDescent="0.3">
      <c r="A27" s="277"/>
      <c r="B27" s="454" t="s">
        <v>249</v>
      </c>
      <c r="C27" s="455"/>
      <c r="D27" s="455"/>
      <c r="E27" s="455"/>
      <c r="F27" s="455"/>
      <c r="G27" s="455"/>
      <c r="H27" s="456"/>
      <c r="I27" s="278">
        <f>SUM(I7:I26)</f>
        <v>5229.3099999999995</v>
      </c>
    </row>
  </sheetData>
  <mergeCells count="2">
    <mergeCell ref="B27:H27"/>
    <mergeCell ref="A3:I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3"/>
  <sheetViews>
    <sheetView showGridLines="0" view="pageBreakPreview" zoomScaleNormal="100" zoomScaleSheetLayoutView="100" workbookViewId="0">
      <selection activeCell="H13" sqref="H13"/>
    </sheetView>
  </sheetViews>
  <sheetFormatPr baseColWidth="10" defaultRowHeight="14.4" x14ac:dyDescent="0.3"/>
  <cols>
    <col min="1" max="1" width="6.6640625" customWidth="1"/>
    <col min="2" max="2" width="43.33203125" bestFit="1" customWidth="1"/>
    <col min="3" max="3" width="9.109375" style="247" customWidth="1"/>
    <col min="4" max="4" width="13" customWidth="1"/>
    <col min="5" max="5" width="12.6640625" customWidth="1"/>
    <col min="6" max="6" width="13.6640625" customWidth="1"/>
    <col min="7" max="7" width="13.109375" customWidth="1"/>
    <col min="9" max="9" width="0" hidden="1" customWidth="1"/>
  </cols>
  <sheetData>
    <row r="1" spans="1:13" s="151" customFormat="1" ht="24" customHeight="1" x14ac:dyDescent="0.3">
      <c r="A1" s="446" t="s">
        <v>272</v>
      </c>
      <c r="B1" s="446"/>
      <c r="C1" s="446"/>
      <c r="D1" s="446"/>
      <c r="E1" s="446"/>
      <c r="F1" s="446"/>
      <c r="G1" s="446"/>
      <c r="H1"/>
      <c r="I1" s="282" t="s">
        <v>309</v>
      </c>
      <c r="J1"/>
      <c r="K1"/>
      <c r="L1"/>
      <c r="M1"/>
    </row>
    <row r="2" spans="1:13" x14ac:dyDescent="0.3">
      <c r="I2" s="264">
        <v>3.84</v>
      </c>
    </row>
    <row r="3" spans="1:13" x14ac:dyDescent="0.3">
      <c r="A3" s="269" t="s">
        <v>271</v>
      </c>
      <c r="B3" s="457" t="s">
        <v>251</v>
      </c>
      <c r="C3" s="457"/>
      <c r="D3" s="457"/>
      <c r="E3" s="457"/>
      <c r="F3" s="457"/>
      <c r="G3" s="457"/>
    </row>
    <row r="4" spans="1:13" x14ac:dyDescent="0.3">
      <c r="B4" s="257"/>
      <c r="C4" s="257"/>
      <c r="D4" s="257"/>
      <c r="E4" s="257"/>
      <c r="F4" s="257"/>
    </row>
    <row r="5" spans="1:13" x14ac:dyDescent="0.3">
      <c r="B5" s="260" t="s">
        <v>218</v>
      </c>
      <c r="C5" s="261" t="s">
        <v>18</v>
      </c>
      <c r="D5" s="261" t="s">
        <v>247</v>
      </c>
      <c r="E5" s="261" t="s">
        <v>19</v>
      </c>
      <c r="F5" s="261" t="s">
        <v>241</v>
      </c>
      <c r="G5" s="262" t="s">
        <v>240</v>
      </c>
    </row>
    <row r="6" spans="1:13" s="264" customFormat="1" x14ac:dyDescent="0.3">
      <c r="B6" t="s">
        <v>250</v>
      </c>
      <c r="C6" s="263" t="s">
        <v>242</v>
      </c>
      <c r="E6" s="265">
        <v>1</v>
      </c>
      <c r="F6" s="246">
        <f>5000/I2</f>
        <v>1302.0833333333335</v>
      </c>
      <c r="G6" s="265">
        <f>+F6*E6</f>
        <v>1302.0833333333335</v>
      </c>
    </row>
    <row r="7" spans="1:13" s="264" customFormat="1" ht="15" thickBot="1" x14ac:dyDescent="0.35">
      <c r="B7" t="s">
        <v>329</v>
      </c>
      <c r="C7" s="263" t="s">
        <v>242</v>
      </c>
      <c r="E7" s="265">
        <v>1</v>
      </c>
      <c r="F7" s="246">
        <f>4000/I2</f>
        <v>1041.6666666666667</v>
      </c>
      <c r="G7" s="265">
        <f>+F7*E7</f>
        <v>1041.6666666666667</v>
      </c>
    </row>
    <row r="8" spans="1:13" ht="15" thickBot="1" x14ac:dyDescent="0.35">
      <c r="B8" s="258"/>
      <c r="F8" s="259" t="s">
        <v>248</v>
      </c>
      <c r="G8" s="298">
        <f>SUM(G6:G7)</f>
        <v>2343.75</v>
      </c>
    </row>
    <row r="9" spans="1:13" x14ac:dyDescent="0.3">
      <c r="F9" s="259"/>
    </row>
    <row r="10" spans="1:13" x14ac:dyDescent="0.3">
      <c r="F10" s="259"/>
    </row>
    <row r="19" spans="5:7" x14ac:dyDescent="0.3">
      <c r="E19" s="265"/>
      <c r="F19" s="265"/>
      <c r="G19" s="265"/>
    </row>
    <row r="20" spans="5:7" x14ac:dyDescent="0.3">
      <c r="E20" s="265"/>
      <c r="F20" s="265"/>
      <c r="G20" s="265"/>
    </row>
    <row r="23" spans="5:7" x14ac:dyDescent="0.3">
      <c r="G23" s="246"/>
    </row>
  </sheetData>
  <mergeCells count="2">
    <mergeCell ref="A1:G1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O53"/>
  <sheetViews>
    <sheetView showGridLines="0" view="pageBreakPreview" zoomScale="85" zoomScaleNormal="100" zoomScaleSheetLayoutView="85" workbookViewId="0">
      <selection activeCell="H13" sqref="H13"/>
    </sheetView>
  </sheetViews>
  <sheetFormatPr baseColWidth="10" defaultColWidth="12.5546875" defaultRowHeight="10.199999999999999" x14ac:dyDescent="0.2"/>
  <cols>
    <col min="1" max="1" width="3.6640625" style="151" customWidth="1"/>
    <col min="2" max="2" width="11.6640625" style="151" customWidth="1"/>
    <col min="3" max="3" width="9.6640625" style="151" customWidth="1"/>
    <col min="4" max="5" width="3.6640625" style="151" customWidth="1"/>
    <col min="6" max="6" width="30.33203125" style="151" customWidth="1"/>
    <col min="7" max="7" width="12.6640625" style="151" customWidth="1"/>
    <col min="8" max="8" width="3.6640625" style="151" customWidth="1"/>
    <col min="9" max="12" width="5.6640625" style="151" customWidth="1"/>
    <col min="13" max="13" width="15.6640625" style="151" customWidth="1"/>
    <col min="14" max="14" width="12.5546875" style="151"/>
    <col min="15" max="15" width="0" style="151" hidden="1" customWidth="1"/>
    <col min="16" max="256" width="12.5546875" style="151"/>
    <col min="257" max="257" width="3.6640625" style="151" customWidth="1"/>
    <col min="258" max="258" width="11.6640625" style="151" customWidth="1"/>
    <col min="259" max="259" width="9.6640625" style="151" customWidth="1"/>
    <col min="260" max="261" width="3.6640625" style="151" customWidth="1"/>
    <col min="262" max="262" width="30.33203125" style="151" customWidth="1"/>
    <col min="263" max="263" width="12.6640625" style="151" customWidth="1"/>
    <col min="264" max="264" width="3.6640625" style="151" customWidth="1"/>
    <col min="265" max="268" width="5.6640625" style="151" customWidth="1"/>
    <col min="269" max="269" width="15.6640625" style="151" customWidth="1"/>
    <col min="270" max="512" width="12.5546875" style="151"/>
    <col min="513" max="513" width="3.6640625" style="151" customWidth="1"/>
    <col min="514" max="514" width="11.6640625" style="151" customWidth="1"/>
    <col min="515" max="515" width="9.6640625" style="151" customWidth="1"/>
    <col min="516" max="517" width="3.6640625" style="151" customWidth="1"/>
    <col min="518" max="518" width="30.33203125" style="151" customWidth="1"/>
    <col min="519" max="519" width="12.6640625" style="151" customWidth="1"/>
    <col min="520" max="520" width="3.6640625" style="151" customWidth="1"/>
    <col min="521" max="524" width="5.6640625" style="151" customWidth="1"/>
    <col min="525" max="525" width="15.6640625" style="151" customWidth="1"/>
    <col min="526" max="768" width="12.5546875" style="151"/>
    <col min="769" max="769" width="3.6640625" style="151" customWidth="1"/>
    <col min="770" max="770" width="11.6640625" style="151" customWidth="1"/>
    <col min="771" max="771" width="9.6640625" style="151" customWidth="1"/>
    <col min="772" max="773" width="3.6640625" style="151" customWidth="1"/>
    <col min="774" max="774" width="30.33203125" style="151" customWidth="1"/>
    <col min="775" max="775" width="12.6640625" style="151" customWidth="1"/>
    <col min="776" max="776" width="3.6640625" style="151" customWidth="1"/>
    <col min="777" max="780" width="5.6640625" style="151" customWidth="1"/>
    <col min="781" max="781" width="15.6640625" style="151" customWidth="1"/>
    <col min="782" max="1024" width="12.5546875" style="151"/>
    <col min="1025" max="1025" width="3.6640625" style="151" customWidth="1"/>
    <col min="1026" max="1026" width="11.6640625" style="151" customWidth="1"/>
    <col min="1027" max="1027" width="9.6640625" style="151" customWidth="1"/>
    <col min="1028" max="1029" width="3.6640625" style="151" customWidth="1"/>
    <col min="1030" max="1030" width="30.33203125" style="151" customWidth="1"/>
    <col min="1031" max="1031" width="12.6640625" style="151" customWidth="1"/>
    <col min="1032" max="1032" width="3.6640625" style="151" customWidth="1"/>
    <col min="1033" max="1036" width="5.6640625" style="151" customWidth="1"/>
    <col min="1037" max="1037" width="15.6640625" style="151" customWidth="1"/>
    <col min="1038" max="1280" width="12.5546875" style="151"/>
    <col min="1281" max="1281" width="3.6640625" style="151" customWidth="1"/>
    <col min="1282" max="1282" width="11.6640625" style="151" customWidth="1"/>
    <col min="1283" max="1283" width="9.6640625" style="151" customWidth="1"/>
    <col min="1284" max="1285" width="3.6640625" style="151" customWidth="1"/>
    <col min="1286" max="1286" width="30.33203125" style="151" customWidth="1"/>
    <col min="1287" max="1287" width="12.6640625" style="151" customWidth="1"/>
    <col min="1288" max="1288" width="3.6640625" style="151" customWidth="1"/>
    <col min="1289" max="1292" width="5.6640625" style="151" customWidth="1"/>
    <col min="1293" max="1293" width="15.6640625" style="151" customWidth="1"/>
    <col min="1294" max="1536" width="12.5546875" style="151"/>
    <col min="1537" max="1537" width="3.6640625" style="151" customWidth="1"/>
    <col min="1538" max="1538" width="11.6640625" style="151" customWidth="1"/>
    <col min="1539" max="1539" width="9.6640625" style="151" customWidth="1"/>
    <col min="1540" max="1541" width="3.6640625" style="151" customWidth="1"/>
    <col min="1542" max="1542" width="30.33203125" style="151" customWidth="1"/>
    <col min="1543" max="1543" width="12.6640625" style="151" customWidth="1"/>
    <col min="1544" max="1544" width="3.6640625" style="151" customWidth="1"/>
    <col min="1545" max="1548" width="5.6640625" style="151" customWidth="1"/>
    <col min="1549" max="1549" width="15.6640625" style="151" customWidth="1"/>
    <col min="1550" max="1792" width="12.5546875" style="151"/>
    <col min="1793" max="1793" width="3.6640625" style="151" customWidth="1"/>
    <col min="1794" max="1794" width="11.6640625" style="151" customWidth="1"/>
    <col min="1795" max="1795" width="9.6640625" style="151" customWidth="1"/>
    <col min="1796" max="1797" width="3.6640625" style="151" customWidth="1"/>
    <col min="1798" max="1798" width="30.33203125" style="151" customWidth="1"/>
    <col min="1799" max="1799" width="12.6640625" style="151" customWidth="1"/>
    <col min="1800" max="1800" width="3.6640625" style="151" customWidth="1"/>
    <col min="1801" max="1804" width="5.6640625" style="151" customWidth="1"/>
    <col min="1805" max="1805" width="15.6640625" style="151" customWidth="1"/>
    <col min="1806" max="2048" width="12.5546875" style="151"/>
    <col min="2049" max="2049" width="3.6640625" style="151" customWidth="1"/>
    <col min="2050" max="2050" width="11.6640625" style="151" customWidth="1"/>
    <col min="2051" max="2051" width="9.6640625" style="151" customWidth="1"/>
    <col min="2052" max="2053" width="3.6640625" style="151" customWidth="1"/>
    <col min="2054" max="2054" width="30.33203125" style="151" customWidth="1"/>
    <col min="2055" max="2055" width="12.6640625" style="151" customWidth="1"/>
    <col min="2056" max="2056" width="3.6640625" style="151" customWidth="1"/>
    <col min="2057" max="2060" width="5.6640625" style="151" customWidth="1"/>
    <col min="2061" max="2061" width="15.6640625" style="151" customWidth="1"/>
    <col min="2062" max="2304" width="12.5546875" style="151"/>
    <col min="2305" max="2305" width="3.6640625" style="151" customWidth="1"/>
    <col min="2306" max="2306" width="11.6640625" style="151" customWidth="1"/>
    <col min="2307" max="2307" width="9.6640625" style="151" customWidth="1"/>
    <col min="2308" max="2309" width="3.6640625" style="151" customWidth="1"/>
    <col min="2310" max="2310" width="30.33203125" style="151" customWidth="1"/>
    <col min="2311" max="2311" width="12.6640625" style="151" customWidth="1"/>
    <col min="2312" max="2312" width="3.6640625" style="151" customWidth="1"/>
    <col min="2313" max="2316" width="5.6640625" style="151" customWidth="1"/>
    <col min="2317" max="2317" width="15.6640625" style="151" customWidth="1"/>
    <col min="2318" max="2560" width="12.5546875" style="151"/>
    <col min="2561" max="2561" width="3.6640625" style="151" customWidth="1"/>
    <col min="2562" max="2562" width="11.6640625" style="151" customWidth="1"/>
    <col min="2563" max="2563" width="9.6640625" style="151" customWidth="1"/>
    <col min="2564" max="2565" width="3.6640625" style="151" customWidth="1"/>
    <col min="2566" max="2566" width="30.33203125" style="151" customWidth="1"/>
    <col min="2567" max="2567" width="12.6640625" style="151" customWidth="1"/>
    <col min="2568" max="2568" width="3.6640625" style="151" customWidth="1"/>
    <col min="2569" max="2572" width="5.6640625" style="151" customWidth="1"/>
    <col min="2573" max="2573" width="15.6640625" style="151" customWidth="1"/>
    <col min="2574" max="2816" width="12.5546875" style="151"/>
    <col min="2817" max="2817" width="3.6640625" style="151" customWidth="1"/>
    <col min="2818" max="2818" width="11.6640625" style="151" customWidth="1"/>
    <col min="2819" max="2819" width="9.6640625" style="151" customWidth="1"/>
    <col min="2820" max="2821" width="3.6640625" style="151" customWidth="1"/>
    <col min="2822" max="2822" width="30.33203125" style="151" customWidth="1"/>
    <col min="2823" max="2823" width="12.6640625" style="151" customWidth="1"/>
    <col min="2824" max="2824" width="3.6640625" style="151" customWidth="1"/>
    <col min="2825" max="2828" width="5.6640625" style="151" customWidth="1"/>
    <col min="2829" max="2829" width="15.6640625" style="151" customWidth="1"/>
    <col min="2830" max="3072" width="12.5546875" style="151"/>
    <col min="3073" max="3073" width="3.6640625" style="151" customWidth="1"/>
    <col min="3074" max="3074" width="11.6640625" style="151" customWidth="1"/>
    <col min="3075" max="3075" width="9.6640625" style="151" customWidth="1"/>
    <col min="3076" max="3077" width="3.6640625" style="151" customWidth="1"/>
    <col min="3078" max="3078" width="30.33203125" style="151" customWidth="1"/>
    <col min="3079" max="3079" width="12.6640625" style="151" customWidth="1"/>
    <col min="3080" max="3080" width="3.6640625" style="151" customWidth="1"/>
    <col min="3081" max="3084" width="5.6640625" style="151" customWidth="1"/>
    <col min="3085" max="3085" width="15.6640625" style="151" customWidth="1"/>
    <col min="3086" max="3328" width="12.5546875" style="151"/>
    <col min="3329" max="3329" width="3.6640625" style="151" customWidth="1"/>
    <col min="3330" max="3330" width="11.6640625" style="151" customWidth="1"/>
    <col min="3331" max="3331" width="9.6640625" style="151" customWidth="1"/>
    <col min="3332" max="3333" width="3.6640625" style="151" customWidth="1"/>
    <col min="3334" max="3334" width="30.33203125" style="151" customWidth="1"/>
    <col min="3335" max="3335" width="12.6640625" style="151" customWidth="1"/>
    <col min="3336" max="3336" width="3.6640625" style="151" customWidth="1"/>
    <col min="3337" max="3340" width="5.6640625" style="151" customWidth="1"/>
    <col min="3341" max="3341" width="15.6640625" style="151" customWidth="1"/>
    <col min="3342" max="3584" width="12.5546875" style="151"/>
    <col min="3585" max="3585" width="3.6640625" style="151" customWidth="1"/>
    <col min="3586" max="3586" width="11.6640625" style="151" customWidth="1"/>
    <col min="3587" max="3587" width="9.6640625" style="151" customWidth="1"/>
    <col min="3588" max="3589" width="3.6640625" style="151" customWidth="1"/>
    <col min="3590" max="3590" width="30.33203125" style="151" customWidth="1"/>
    <col min="3591" max="3591" width="12.6640625" style="151" customWidth="1"/>
    <col min="3592" max="3592" width="3.6640625" style="151" customWidth="1"/>
    <col min="3593" max="3596" width="5.6640625" style="151" customWidth="1"/>
    <col min="3597" max="3597" width="15.6640625" style="151" customWidth="1"/>
    <col min="3598" max="3840" width="12.5546875" style="151"/>
    <col min="3841" max="3841" width="3.6640625" style="151" customWidth="1"/>
    <col min="3842" max="3842" width="11.6640625" style="151" customWidth="1"/>
    <col min="3843" max="3843" width="9.6640625" style="151" customWidth="1"/>
    <col min="3844" max="3845" width="3.6640625" style="151" customWidth="1"/>
    <col min="3846" max="3846" width="30.33203125" style="151" customWidth="1"/>
    <col min="3847" max="3847" width="12.6640625" style="151" customWidth="1"/>
    <col min="3848" max="3848" width="3.6640625" style="151" customWidth="1"/>
    <col min="3849" max="3852" width="5.6640625" style="151" customWidth="1"/>
    <col min="3853" max="3853" width="15.6640625" style="151" customWidth="1"/>
    <col min="3854" max="4096" width="12.5546875" style="151"/>
    <col min="4097" max="4097" width="3.6640625" style="151" customWidth="1"/>
    <col min="4098" max="4098" width="11.6640625" style="151" customWidth="1"/>
    <col min="4099" max="4099" width="9.6640625" style="151" customWidth="1"/>
    <col min="4100" max="4101" width="3.6640625" style="151" customWidth="1"/>
    <col min="4102" max="4102" width="30.33203125" style="151" customWidth="1"/>
    <col min="4103" max="4103" width="12.6640625" style="151" customWidth="1"/>
    <col min="4104" max="4104" width="3.6640625" style="151" customWidth="1"/>
    <col min="4105" max="4108" width="5.6640625" style="151" customWidth="1"/>
    <col min="4109" max="4109" width="15.6640625" style="151" customWidth="1"/>
    <col min="4110" max="4352" width="12.5546875" style="151"/>
    <col min="4353" max="4353" width="3.6640625" style="151" customWidth="1"/>
    <col min="4354" max="4354" width="11.6640625" style="151" customWidth="1"/>
    <col min="4355" max="4355" width="9.6640625" style="151" customWidth="1"/>
    <col min="4356" max="4357" width="3.6640625" style="151" customWidth="1"/>
    <col min="4358" max="4358" width="30.33203125" style="151" customWidth="1"/>
    <col min="4359" max="4359" width="12.6640625" style="151" customWidth="1"/>
    <col min="4360" max="4360" width="3.6640625" style="151" customWidth="1"/>
    <col min="4361" max="4364" width="5.6640625" style="151" customWidth="1"/>
    <col min="4365" max="4365" width="15.6640625" style="151" customWidth="1"/>
    <col min="4366" max="4608" width="12.5546875" style="151"/>
    <col min="4609" max="4609" width="3.6640625" style="151" customWidth="1"/>
    <col min="4610" max="4610" width="11.6640625" style="151" customWidth="1"/>
    <col min="4611" max="4611" width="9.6640625" style="151" customWidth="1"/>
    <col min="4612" max="4613" width="3.6640625" style="151" customWidth="1"/>
    <col min="4614" max="4614" width="30.33203125" style="151" customWidth="1"/>
    <col min="4615" max="4615" width="12.6640625" style="151" customWidth="1"/>
    <col min="4616" max="4616" width="3.6640625" style="151" customWidth="1"/>
    <col min="4617" max="4620" width="5.6640625" style="151" customWidth="1"/>
    <col min="4621" max="4621" width="15.6640625" style="151" customWidth="1"/>
    <col min="4622" max="4864" width="12.5546875" style="151"/>
    <col min="4865" max="4865" width="3.6640625" style="151" customWidth="1"/>
    <col min="4866" max="4866" width="11.6640625" style="151" customWidth="1"/>
    <col min="4867" max="4867" width="9.6640625" style="151" customWidth="1"/>
    <col min="4868" max="4869" width="3.6640625" style="151" customWidth="1"/>
    <col min="4870" max="4870" width="30.33203125" style="151" customWidth="1"/>
    <col min="4871" max="4871" width="12.6640625" style="151" customWidth="1"/>
    <col min="4872" max="4872" width="3.6640625" style="151" customWidth="1"/>
    <col min="4873" max="4876" width="5.6640625" style="151" customWidth="1"/>
    <col min="4877" max="4877" width="15.6640625" style="151" customWidth="1"/>
    <col min="4878" max="5120" width="12.5546875" style="151"/>
    <col min="5121" max="5121" width="3.6640625" style="151" customWidth="1"/>
    <col min="5122" max="5122" width="11.6640625" style="151" customWidth="1"/>
    <col min="5123" max="5123" width="9.6640625" style="151" customWidth="1"/>
    <col min="5124" max="5125" width="3.6640625" style="151" customWidth="1"/>
    <col min="5126" max="5126" width="30.33203125" style="151" customWidth="1"/>
    <col min="5127" max="5127" width="12.6640625" style="151" customWidth="1"/>
    <col min="5128" max="5128" width="3.6640625" style="151" customWidth="1"/>
    <col min="5129" max="5132" width="5.6640625" style="151" customWidth="1"/>
    <col min="5133" max="5133" width="15.6640625" style="151" customWidth="1"/>
    <col min="5134" max="5376" width="12.5546875" style="151"/>
    <col min="5377" max="5377" width="3.6640625" style="151" customWidth="1"/>
    <col min="5378" max="5378" width="11.6640625" style="151" customWidth="1"/>
    <col min="5379" max="5379" width="9.6640625" style="151" customWidth="1"/>
    <col min="5380" max="5381" width="3.6640625" style="151" customWidth="1"/>
    <col min="5382" max="5382" width="30.33203125" style="151" customWidth="1"/>
    <col min="5383" max="5383" width="12.6640625" style="151" customWidth="1"/>
    <col min="5384" max="5384" width="3.6640625" style="151" customWidth="1"/>
    <col min="5385" max="5388" width="5.6640625" style="151" customWidth="1"/>
    <col min="5389" max="5389" width="15.6640625" style="151" customWidth="1"/>
    <col min="5390" max="5632" width="12.5546875" style="151"/>
    <col min="5633" max="5633" width="3.6640625" style="151" customWidth="1"/>
    <col min="5634" max="5634" width="11.6640625" style="151" customWidth="1"/>
    <col min="5635" max="5635" width="9.6640625" style="151" customWidth="1"/>
    <col min="5636" max="5637" width="3.6640625" style="151" customWidth="1"/>
    <col min="5638" max="5638" width="30.33203125" style="151" customWidth="1"/>
    <col min="5639" max="5639" width="12.6640625" style="151" customWidth="1"/>
    <col min="5640" max="5640" width="3.6640625" style="151" customWidth="1"/>
    <col min="5641" max="5644" width="5.6640625" style="151" customWidth="1"/>
    <col min="5645" max="5645" width="15.6640625" style="151" customWidth="1"/>
    <col min="5646" max="5888" width="12.5546875" style="151"/>
    <col min="5889" max="5889" width="3.6640625" style="151" customWidth="1"/>
    <col min="5890" max="5890" width="11.6640625" style="151" customWidth="1"/>
    <col min="5891" max="5891" width="9.6640625" style="151" customWidth="1"/>
    <col min="5892" max="5893" width="3.6640625" style="151" customWidth="1"/>
    <col min="5894" max="5894" width="30.33203125" style="151" customWidth="1"/>
    <col min="5895" max="5895" width="12.6640625" style="151" customWidth="1"/>
    <col min="5896" max="5896" width="3.6640625" style="151" customWidth="1"/>
    <col min="5897" max="5900" width="5.6640625" style="151" customWidth="1"/>
    <col min="5901" max="5901" width="15.6640625" style="151" customWidth="1"/>
    <col min="5902" max="6144" width="12.5546875" style="151"/>
    <col min="6145" max="6145" width="3.6640625" style="151" customWidth="1"/>
    <col min="6146" max="6146" width="11.6640625" style="151" customWidth="1"/>
    <col min="6147" max="6147" width="9.6640625" style="151" customWidth="1"/>
    <col min="6148" max="6149" width="3.6640625" style="151" customWidth="1"/>
    <col min="6150" max="6150" width="30.33203125" style="151" customWidth="1"/>
    <col min="6151" max="6151" width="12.6640625" style="151" customWidth="1"/>
    <col min="6152" max="6152" width="3.6640625" style="151" customWidth="1"/>
    <col min="6153" max="6156" width="5.6640625" style="151" customWidth="1"/>
    <col min="6157" max="6157" width="15.6640625" style="151" customWidth="1"/>
    <col min="6158" max="6400" width="12.5546875" style="151"/>
    <col min="6401" max="6401" width="3.6640625" style="151" customWidth="1"/>
    <col min="6402" max="6402" width="11.6640625" style="151" customWidth="1"/>
    <col min="6403" max="6403" width="9.6640625" style="151" customWidth="1"/>
    <col min="6404" max="6405" width="3.6640625" style="151" customWidth="1"/>
    <col min="6406" max="6406" width="30.33203125" style="151" customWidth="1"/>
    <col min="6407" max="6407" width="12.6640625" style="151" customWidth="1"/>
    <col min="6408" max="6408" width="3.6640625" style="151" customWidth="1"/>
    <col min="6409" max="6412" width="5.6640625" style="151" customWidth="1"/>
    <col min="6413" max="6413" width="15.6640625" style="151" customWidth="1"/>
    <col min="6414" max="6656" width="12.5546875" style="151"/>
    <col min="6657" max="6657" width="3.6640625" style="151" customWidth="1"/>
    <col min="6658" max="6658" width="11.6640625" style="151" customWidth="1"/>
    <col min="6659" max="6659" width="9.6640625" style="151" customWidth="1"/>
    <col min="6660" max="6661" width="3.6640625" style="151" customWidth="1"/>
    <col min="6662" max="6662" width="30.33203125" style="151" customWidth="1"/>
    <col min="6663" max="6663" width="12.6640625" style="151" customWidth="1"/>
    <col min="6664" max="6664" width="3.6640625" style="151" customWidth="1"/>
    <col min="6665" max="6668" width="5.6640625" style="151" customWidth="1"/>
    <col min="6669" max="6669" width="15.6640625" style="151" customWidth="1"/>
    <col min="6670" max="6912" width="12.5546875" style="151"/>
    <col min="6913" max="6913" width="3.6640625" style="151" customWidth="1"/>
    <col min="6914" max="6914" width="11.6640625" style="151" customWidth="1"/>
    <col min="6915" max="6915" width="9.6640625" style="151" customWidth="1"/>
    <col min="6916" max="6917" width="3.6640625" style="151" customWidth="1"/>
    <col min="6918" max="6918" width="30.33203125" style="151" customWidth="1"/>
    <col min="6919" max="6919" width="12.6640625" style="151" customWidth="1"/>
    <col min="6920" max="6920" width="3.6640625" style="151" customWidth="1"/>
    <col min="6921" max="6924" width="5.6640625" style="151" customWidth="1"/>
    <col min="6925" max="6925" width="15.6640625" style="151" customWidth="1"/>
    <col min="6926" max="7168" width="12.5546875" style="151"/>
    <col min="7169" max="7169" width="3.6640625" style="151" customWidth="1"/>
    <col min="7170" max="7170" width="11.6640625" style="151" customWidth="1"/>
    <col min="7171" max="7171" width="9.6640625" style="151" customWidth="1"/>
    <col min="7172" max="7173" width="3.6640625" style="151" customWidth="1"/>
    <col min="7174" max="7174" width="30.33203125" style="151" customWidth="1"/>
    <col min="7175" max="7175" width="12.6640625" style="151" customWidth="1"/>
    <col min="7176" max="7176" width="3.6640625" style="151" customWidth="1"/>
    <col min="7177" max="7180" width="5.6640625" style="151" customWidth="1"/>
    <col min="7181" max="7181" width="15.6640625" style="151" customWidth="1"/>
    <col min="7182" max="7424" width="12.5546875" style="151"/>
    <col min="7425" max="7425" width="3.6640625" style="151" customWidth="1"/>
    <col min="7426" max="7426" width="11.6640625" style="151" customWidth="1"/>
    <col min="7427" max="7427" width="9.6640625" style="151" customWidth="1"/>
    <col min="7428" max="7429" width="3.6640625" style="151" customWidth="1"/>
    <col min="7430" max="7430" width="30.33203125" style="151" customWidth="1"/>
    <col min="7431" max="7431" width="12.6640625" style="151" customWidth="1"/>
    <col min="7432" max="7432" width="3.6640625" style="151" customWidth="1"/>
    <col min="7433" max="7436" width="5.6640625" style="151" customWidth="1"/>
    <col min="7437" max="7437" width="15.6640625" style="151" customWidth="1"/>
    <col min="7438" max="7680" width="12.5546875" style="151"/>
    <col min="7681" max="7681" width="3.6640625" style="151" customWidth="1"/>
    <col min="7682" max="7682" width="11.6640625" style="151" customWidth="1"/>
    <col min="7683" max="7683" width="9.6640625" style="151" customWidth="1"/>
    <col min="7684" max="7685" width="3.6640625" style="151" customWidth="1"/>
    <col min="7686" max="7686" width="30.33203125" style="151" customWidth="1"/>
    <col min="7687" max="7687" width="12.6640625" style="151" customWidth="1"/>
    <col min="7688" max="7688" width="3.6640625" style="151" customWidth="1"/>
    <col min="7689" max="7692" width="5.6640625" style="151" customWidth="1"/>
    <col min="7693" max="7693" width="15.6640625" style="151" customWidth="1"/>
    <col min="7694" max="7936" width="12.5546875" style="151"/>
    <col min="7937" max="7937" width="3.6640625" style="151" customWidth="1"/>
    <col min="7938" max="7938" width="11.6640625" style="151" customWidth="1"/>
    <col min="7939" max="7939" width="9.6640625" style="151" customWidth="1"/>
    <col min="7940" max="7941" width="3.6640625" style="151" customWidth="1"/>
    <col min="7942" max="7942" width="30.33203125" style="151" customWidth="1"/>
    <col min="7943" max="7943" width="12.6640625" style="151" customWidth="1"/>
    <col min="7944" max="7944" width="3.6640625" style="151" customWidth="1"/>
    <col min="7945" max="7948" width="5.6640625" style="151" customWidth="1"/>
    <col min="7949" max="7949" width="15.6640625" style="151" customWidth="1"/>
    <col min="7950" max="8192" width="12.5546875" style="151"/>
    <col min="8193" max="8193" width="3.6640625" style="151" customWidth="1"/>
    <col min="8194" max="8194" width="11.6640625" style="151" customWidth="1"/>
    <col min="8195" max="8195" width="9.6640625" style="151" customWidth="1"/>
    <col min="8196" max="8197" width="3.6640625" style="151" customWidth="1"/>
    <col min="8198" max="8198" width="30.33203125" style="151" customWidth="1"/>
    <col min="8199" max="8199" width="12.6640625" style="151" customWidth="1"/>
    <col min="8200" max="8200" width="3.6640625" style="151" customWidth="1"/>
    <col min="8201" max="8204" width="5.6640625" style="151" customWidth="1"/>
    <col min="8205" max="8205" width="15.6640625" style="151" customWidth="1"/>
    <col min="8206" max="8448" width="12.5546875" style="151"/>
    <col min="8449" max="8449" width="3.6640625" style="151" customWidth="1"/>
    <col min="8450" max="8450" width="11.6640625" style="151" customWidth="1"/>
    <col min="8451" max="8451" width="9.6640625" style="151" customWidth="1"/>
    <col min="8452" max="8453" width="3.6640625" style="151" customWidth="1"/>
    <col min="8454" max="8454" width="30.33203125" style="151" customWidth="1"/>
    <col min="8455" max="8455" width="12.6640625" style="151" customWidth="1"/>
    <col min="8456" max="8456" width="3.6640625" style="151" customWidth="1"/>
    <col min="8457" max="8460" width="5.6640625" style="151" customWidth="1"/>
    <col min="8461" max="8461" width="15.6640625" style="151" customWidth="1"/>
    <col min="8462" max="8704" width="12.5546875" style="151"/>
    <col min="8705" max="8705" width="3.6640625" style="151" customWidth="1"/>
    <col min="8706" max="8706" width="11.6640625" style="151" customWidth="1"/>
    <col min="8707" max="8707" width="9.6640625" style="151" customWidth="1"/>
    <col min="8708" max="8709" width="3.6640625" style="151" customWidth="1"/>
    <col min="8710" max="8710" width="30.33203125" style="151" customWidth="1"/>
    <col min="8711" max="8711" width="12.6640625" style="151" customWidth="1"/>
    <col min="8712" max="8712" width="3.6640625" style="151" customWidth="1"/>
    <col min="8713" max="8716" width="5.6640625" style="151" customWidth="1"/>
    <col min="8717" max="8717" width="15.6640625" style="151" customWidth="1"/>
    <col min="8718" max="8960" width="12.5546875" style="151"/>
    <col min="8961" max="8961" width="3.6640625" style="151" customWidth="1"/>
    <col min="8962" max="8962" width="11.6640625" style="151" customWidth="1"/>
    <col min="8963" max="8963" width="9.6640625" style="151" customWidth="1"/>
    <col min="8964" max="8965" width="3.6640625" style="151" customWidth="1"/>
    <col min="8966" max="8966" width="30.33203125" style="151" customWidth="1"/>
    <col min="8967" max="8967" width="12.6640625" style="151" customWidth="1"/>
    <col min="8968" max="8968" width="3.6640625" style="151" customWidth="1"/>
    <col min="8969" max="8972" width="5.6640625" style="151" customWidth="1"/>
    <col min="8973" max="8973" width="15.6640625" style="151" customWidth="1"/>
    <col min="8974" max="9216" width="12.5546875" style="151"/>
    <col min="9217" max="9217" width="3.6640625" style="151" customWidth="1"/>
    <col min="9218" max="9218" width="11.6640625" style="151" customWidth="1"/>
    <col min="9219" max="9219" width="9.6640625" style="151" customWidth="1"/>
    <col min="9220" max="9221" width="3.6640625" style="151" customWidth="1"/>
    <col min="9222" max="9222" width="30.33203125" style="151" customWidth="1"/>
    <col min="9223" max="9223" width="12.6640625" style="151" customWidth="1"/>
    <col min="9224" max="9224" width="3.6640625" style="151" customWidth="1"/>
    <col min="9225" max="9228" width="5.6640625" style="151" customWidth="1"/>
    <col min="9229" max="9229" width="15.6640625" style="151" customWidth="1"/>
    <col min="9230" max="9472" width="12.5546875" style="151"/>
    <col min="9473" max="9473" width="3.6640625" style="151" customWidth="1"/>
    <col min="9474" max="9474" width="11.6640625" style="151" customWidth="1"/>
    <col min="9475" max="9475" width="9.6640625" style="151" customWidth="1"/>
    <col min="9476" max="9477" width="3.6640625" style="151" customWidth="1"/>
    <col min="9478" max="9478" width="30.33203125" style="151" customWidth="1"/>
    <col min="9479" max="9479" width="12.6640625" style="151" customWidth="1"/>
    <col min="9480" max="9480" width="3.6640625" style="151" customWidth="1"/>
    <col min="9481" max="9484" width="5.6640625" style="151" customWidth="1"/>
    <col min="9485" max="9485" width="15.6640625" style="151" customWidth="1"/>
    <col min="9486" max="9728" width="12.5546875" style="151"/>
    <col min="9729" max="9729" width="3.6640625" style="151" customWidth="1"/>
    <col min="9730" max="9730" width="11.6640625" style="151" customWidth="1"/>
    <col min="9731" max="9731" width="9.6640625" style="151" customWidth="1"/>
    <col min="9732" max="9733" width="3.6640625" style="151" customWidth="1"/>
    <col min="9734" max="9734" width="30.33203125" style="151" customWidth="1"/>
    <col min="9735" max="9735" width="12.6640625" style="151" customWidth="1"/>
    <col min="9736" max="9736" width="3.6640625" style="151" customWidth="1"/>
    <col min="9737" max="9740" width="5.6640625" style="151" customWidth="1"/>
    <col min="9741" max="9741" width="15.6640625" style="151" customWidth="1"/>
    <col min="9742" max="9984" width="12.5546875" style="151"/>
    <col min="9985" max="9985" width="3.6640625" style="151" customWidth="1"/>
    <col min="9986" max="9986" width="11.6640625" style="151" customWidth="1"/>
    <col min="9987" max="9987" width="9.6640625" style="151" customWidth="1"/>
    <col min="9988" max="9989" width="3.6640625" style="151" customWidth="1"/>
    <col min="9990" max="9990" width="30.33203125" style="151" customWidth="1"/>
    <col min="9991" max="9991" width="12.6640625" style="151" customWidth="1"/>
    <col min="9992" max="9992" width="3.6640625" style="151" customWidth="1"/>
    <col min="9993" max="9996" width="5.6640625" style="151" customWidth="1"/>
    <col min="9997" max="9997" width="15.6640625" style="151" customWidth="1"/>
    <col min="9998" max="10240" width="12.5546875" style="151"/>
    <col min="10241" max="10241" width="3.6640625" style="151" customWidth="1"/>
    <col min="10242" max="10242" width="11.6640625" style="151" customWidth="1"/>
    <col min="10243" max="10243" width="9.6640625" style="151" customWidth="1"/>
    <col min="10244" max="10245" width="3.6640625" style="151" customWidth="1"/>
    <col min="10246" max="10246" width="30.33203125" style="151" customWidth="1"/>
    <col min="10247" max="10247" width="12.6640625" style="151" customWidth="1"/>
    <col min="10248" max="10248" width="3.6640625" style="151" customWidth="1"/>
    <col min="10249" max="10252" width="5.6640625" style="151" customWidth="1"/>
    <col min="10253" max="10253" width="15.6640625" style="151" customWidth="1"/>
    <col min="10254" max="10496" width="12.5546875" style="151"/>
    <col min="10497" max="10497" width="3.6640625" style="151" customWidth="1"/>
    <col min="10498" max="10498" width="11.6640625" style="151" customWidth="1"/>
    <col min="10499" max="10499" width="9.6640625" style="151" customWidth="1"/>
    <col min="10500" max="10501" width="3.6640625" style="151" customWidth="1"/>
    <col min="10502" max="10502" width="30.33203125" style="151" customWidth="1"/>
    <col min="10503" max="10503" width="12.6640625" style="151" customWidth="1"/>
    <col min="10504" max="10504" width="3.6640625" style="151" customWidth="1"/>
    <col min="10505" max="10508" width="5.6640625" style="151" customWidth="1"/>
    <col min="10509" max="10509" width="15.6640625" style="151" customWidth="1"/>
    <col min="10510" max="10752" width="12.5546875" style="151"/>
    <col min="10753" max="10753" width="3.6640625" style="151" customWidth="1"/>
    <col min="10754" max="10754" width="11.6640625" style="151" customWidth="1"/>
    <col min="10755" max="10755" width="9.6640625" style="151" customWidth="1"/>
    <col min="10756" max="10757" width="3.6640625" style="151" customWidth="1"/>
    <col min="10758" max="10758" width="30.33203125" style="151" customWidth="1"/>
    <col min="10759" max="10759" width="12.6640625" style="151" customWidth="1"/>
    <col min="10760" max="10760" width="3.6640625" style="151" customWidth="1"/>
    <col min="10761" max="10764" width="5.6640625" style="151" customWidth="1"/>
    <col min="10765" max="10765" width="15.6640625" style="151" customWidth="1"/>
    <col min="10766" max="11008" width="12.5546875" style="151"/>
    <col min="11009" max="11009" width="3.6640625" style="151" customWidth="1"/>
    <col min="11010" max="11010" width="11.6640625" style="151" customWidth="1"/>
    <col min="11011" max="11011" width="9.6640625" style="151" customWidth="1"/>
    <col min="11012" max="11013" width="3.6640625" style="151" customWidth="1"/>
    <col min="11014" max="11014" width="30.33203125" style="151" customWidth="1"/>
    <col min="11015" max="11015" width="12.6640625" style="151" customWidth="1"/>
    <col min="11016" max="11016" width="3.6640625" style="151" customWidth="1"/>
    <col min="11017" max="11020" width="5.6640625" style="151" customWidth="1"/>
    <col min="11021" max="11021" width="15.6640625" style="151" customWidth="1"/>
    <col min="11022" max="11264" width="12.5546875" style="151"/>
    <col min="11265" max="11265" width="3.6640625" style="151" customWidth="1"/>
    <col min="11266" max="11266" width="11.6640625" style="151" customWidth="1"/>
    <col min="11267" max="11267" width="9.6640625" style="151" customWidth="1"/>
    <col min="11268" max="11269" width="3.6640625" style="151" customWidth="1"/>
    <col min="11270" max="11270" width="30.33203125" style="151" customWidth="1"/>
    <col min="11271" max="11271" width="12.6640625" style="151" customWidth="1"/>
    <col min="11272" max="11272" width="3.6640625" style="151" customWidth="1"/>
    <col min="11273" max="11276" width="5.6640625" style="151" customWidth="1"/>
    <col min="11277" max="11277" width="15.6640625" style="151" customWidth="1"/>
    <col min="11278" max="11520" width="12.5546875" style="151"/>
    <col min="11521" max="11521" width="3.6640625" style="151" customWidth="1"/>
    <col min="11522" max="11522" width="11.6640625" style="151" customWidth="1"/>
    <col min="11523" max="11523" width="9.6640625" style="151" customWidth="1"/>
    <col min="11524" max="11525" width="3.6640625" style="151" customWidth="1"/>
    <col min="11526" max="11526" width="30.33203125" style="151" customWidth="1"/>
    <col min="11527" max="11527" width="12.6640625" style="151" customWidth="1"/>
    <col min="11528" max="11528" width="3.6640625" style="151" customWidth="1"/>
    <col min="11529" max="11532" width="5.6640625" style="151" customWidth="1"/>
    <col min="11533" max="11533" width="15.6640625" style="151" customWidth="1"/>
    <col min="11534" max="11776" width="12.5546875" style="151"/>
    <col min="11777" max="11777" width="3.6640625" style="151" customWidth="1"/>
    <col min="11778" max="11778" width="11.6640625" style="151" customWidth="1"/>
    <col min="11779" max="11779" width="9.6640625" style="151" customWidth="1"/>
    <col min="11780" max="11781" width="3.6640625" style="151" customWidth="1"/>
    <col min="11782" max="11782" width="30.33203125" style="151" customWidth="1"/>
    <col min="11783" max="11783" width="12.6640625" style="151" customWidth="1"/>
    <col min="11784" max="11784" width="3.6640625" style="151" customWidth="1"/>
    <col min="11785" max="11788" width="5.6640625" style="151" customWidth="1"/>
    <col min="11789" max="11789" width="15.6640625" style="151" customWidth="1"/>
    <col min="11790" max="12032" width="12.5546875" style="151"/>
    <col min="12033" max="12033" width="3.6640625" style="151" customWidth="1"/>
    <col min="12034" max="12034" width="11.6640625" style="151" customWidth="1"/>
    <col min="12035" max="12035" width="9.6640625" style="151" customWidth="1"/>
    <col min="12036" max="12037" width="3.6640625" style="151" customWidth="1"/>
    <col min="12038" max="12038" width="30.33203125" style="151" customWidth="1"/>
    <col min="12039" max="12039" width="12.6640625" style="151" customWidth="1"/>
    <col min="12040" max="12040" width="3.6640625" style="151" customWidth="1"/>
    <col min="12041" max="12044" width="5.6640625" style="151" customWidth="1"/>
    <col min="12045" max="12045" width="15.6640625" style="151" customWidth="1"/>
    <col min="12046" max="12288" width="12.5546875" style="151"/>
    <col min="12289" max="12289" width="3.6640625" style="151" customWidth="1"/>
    <col min="12290" max="12290" width="11.6640625" style="151" customWidth="1"/>
    <col min="12291" max="12291" width="9.6640625" style="151" customWidth="1"/>
    <col min="12292" max="12293" width="3.6640625" style="151" customWidth="1"/>
    <col min="12294" max="12294" width="30.33203125" style="151" customWidth="1"/>
    <col min="12295" max="12295" width="12.6640625" style="151" customWidth="1"/>
    <col min="12296" max="12296" width="3.6640625" style="151" customWidth="1"/>
    <col min="12297" max="12300" width="5.6640625" style="151" customWidth="1"/>
    <col min="12301" max="12301" width="15.6640625" style="151" customWidth="1"/>
    <col min="12302" max="12544" width="12.5546875" style="151"/>
    <col min="12545" max="12545" width="3.6640625" style="151" customWidth="1"/>
    <col min="12546" max="12546" width="11.6640625" style="151" customWidth="1"/>
    <col min="12547" max="12547" width="9.6640625" style="151" customWidth="1"/>
    <col min="12548" max="12549" width="3.6640625" style="151" customWidth="1"/>
    <col min="12550" max="12550" width="30.33203125" style="151" customWidth="1"/>
    <col min="12551" max="12551" width="12.6640625" style="151" customWidth="1"/>
    <col min="12552" max="12552" width="3.6640625" style="151" customWidth="1"/>
    <col min="12553" max="12556" width="5.6640625" style="151" customWidth="1"/>
    <col min="12557" max="12557" width="15.6640625" style="151" customWidth="1"/>
    <col min="12558" max="12800" width="12.5546875" style="151"/>
    <col min="12801" max="12801" width="3.6640625" style="151" customWidth="1"/>
    <col min="12802" max="12802" width="11.6640625" style="151" customWidth="1"/>
    <col min="12803" max="12803" width="9.6640625" style="151" customWidth="1"/>
    <col min="12804" max="12805" width="3.6640625" style="151" customWidth="1"/>
    <col min="12806" max="12806" width="30.33203125" style="151" customWidth="1"/>
    <col min="12807" max="12807" width="12.6640625" style="151" customWidth="1"/>
    <col min="12808" max="12808" width="3.6640625" style="151" customWidth="1"/>
    <col min="12809" max="12812" width="5.6640625" style="151" customWidth="1"/>
    <col min="12813" max="12813" width="15.6640625" style="151" customWidth="1"/>
    <col min="12814" max="13056" width="12.5546875" style="151"/>
    <col min="13057" max="13057" width="3.6640625" style="151" customWidth="1"/>
    <col min="13058" max="13058" width="11.6640625" style="151" customWidth="1"/>
    <col min="13059" max="13059" width="9.6640625" style="151" customWidth="1"/>
    <col min="13060" max="13061" width="3.6640625" style="151" customWidth="1"/>
    <col min="13062" max="13062" width="30.33203125" style="151" customWidth="1"/>
    <col min="13063" max="13063" width="12.6640625" style="151" customWidth="1"/>
    <col min="13064" max="13064" width="3.6640625" style="151" customWidth="1"/>
    <col min="13065" max="13068" width="5.6640625" style="151" customWidth="1"/>
    <col min="13069" max="13069" width="15.6640625" style="151" customWidth="1"/>
    <col min="13070" max="13312" width="12.5546875" style="151"/>
    <col min="13313" max="13313" width="3.6640625" style="151" customWidth="1"/>
    <col min="13314" max="13314" width="11.6640625" style="151" customWidth="1"/>
    <col min="13315" max="13315" width="9.6640625" style="151" customWidth="1"/>
    <col min="13316" max="13317" width="3.6640625" style="151" customWidth="1"/>
    <col min="13318" max="13318" width="30.33203125" style="151" customWidth="1"/>
    <col min="13319" max="13319" width="12.6640625" style="151" customWidth="1"/>
    <col min="13320" max="13320" width="3.6640625" style="151" customWidth="1"/>
    <col min="13321" max="13324" width="5.6640625" style="151" customWidth="1"/>
    <col min="13325" max="13325" width="15.6640625" style="151" customWidth="1"/>
    <col min="13326" max="13568" width="12.5546875" style="151"/>
    <col min="13569" max="13569" width="3.6640625" style="151" customWidth="1"/>
    <col min="13570" max="13570" width="11.6640625" style="151" customWidth="1"/>
    <col min="13571" max="13571" width="9.6640625" style="151" customWidth="1"/>
    <col min="13572" max="13573" width="3.6640625" style="151" customWidth="1"/>
    <col min="13574" max="13574" width="30.33203125" style="151" customWidth="1"/>
    <col min="13575" max="13575" width="12.6640625" style="151" customWidth="1"/>
    <col min="13576" max="13576" width="3.6640625" style="151" customWidth="1"/>
    <col min="13577" max="13580" width="5.6640625" style="151" customWidth="1"/>
    <col min="13581" max="13581" width="15.6640625" style="151" customWidth="1"/>
    <col min="13582" max="13824" width="12.5546875" style="151"/>
    <col min="13825" max="13825" width="3.6640625" style="151" customWidth="1"/>
    <col min="13826" max="13826" width="11.6640625" style="151" customWidth="1"/>
    <col min="13827" max="13827" width="9.6640625" style="151" customWidth="1"/>
    <col min="13828" max="13829" width="3.6640625" style="151" customWidth="1"/>
    <col min="13830" max="13830" width="30.33203125" style="151" customWidth="1"/>
    <col min="13831" max="13831" width="12.6640625" style="151" customWidth="1"/>
    <col min="13832" max="13832" width="3.6640625" style="151" customWidth="1"/>
    <col min="13833" max="13836" width="5.6640625" style="151" customWidth="1"/>
    <col min="13837" max="13837" width="15.6640625" style="151" customWidth="1"/>
    <col min="13838" max="14080" width="12.5546875" style="151"/>
    <col min="14081" max="14081" width="3.6640625" style="151" customWidth="1"/>
    <col min="14082" max="14082" width="11.6640625" style="151" customWidth="1"/>
    <col min="14083" max="14083" width="9.6640625" style="151" customWidth="1"/>
    <col min="14084" max="14085" width="3.6640625" style="151" customWidth="1"/>
    <col min="14086" max="14086" width="30.33203125" style="151" customWidth="1"/>
    <col min="14087" max="14087" width="12.6640625" style="151" customWidth="1"/>
    <col min="14088" max="14088" width="3.6640625" style="151" customWidth="1"/>
    <col min="14089" max="14092" width="5.6640625" style="151" customWidth="1"/>
    <col min="14093" max="14093" width="15.6640625" style="151" customWidth="1"/>
    <col min="14094" max="14336" width="12.5546875" style="151"/>
    <col min="14337" max="14337" width="3.6640625" style="151" customWidth="1"/>
    <col min="14338" max="14338" width="11.6640625" style="151" customWidth="1"/>
    <col min="14339" max="14339" width="9.6640625" style="151" customWidth="1"/>
    <col min="14340" max="14341" width="3.6640625" style="151" customWidth="1"/>
    <col min="14342" max="14342" width="30.33203125" style="151" customWidth="1"/>
    <col min="14343" max="14343" width="12.6640625" style="151" customWidth="1"/>
    <col min="14344" max="14344" width="3.6640625" style="151" customWidth="1"/>
    <col min="14345" max="14348" width="5.6640625" style="151" customWidth="1"/>
    <col min="14349" max="14349" width="15.6640625" style="151" customWidth="1"/>
    <col min="14350" max="14592" width="12.5546875" style="151"/>
    <col min="14593" max="14593" width="3.6640625" style="151" customWidth="1"/>
    <col min="14594" max="14594" width="11.6640625" style="151" customWidth="1"/>
    <col min="14595" max="14595" width="9.6640625" style="151" customWidth="1"/>
    <col min="14596" max="14597" width="3.6640625" style="151" customWidth="1"/>
    <col min="14598" max="14598" width="30.33203125" style="151" customWidth="1"/>
    <col min="14599" max="14599" width="12.6640625" style="151" customWidth="1"/>
    <col min="14600" max="14600" width="3.6640625" style="151" customWidth="1"/>
    <col min="14601" max="14604" width="5.6640625" style="151" customWidth="1"/>
    <col min="14605" max="14605" width="15.6640625" style="151" customWidth="1"/>
    <col min="14606" max="14848" width="12.5546875" style="151"/>
    <col min="14849" max="14849" width="3.6640625" style="151" customWidth="1"/>
    <col min="14850" max="14850" width="11.6640625" style="151" customWidth="1"/>
    <col min="14851" max="14851" width="9.6640625" style="151" customWidth="1"/>
    <col min="14852" max="14853" width="3.6640625" style="151" customWidth="1"/>
    <col min="14854" max="14854" width="30.33203125" style="151" customWidth="1"/>
    <col min="14855" max="14855" width="12.6640625" style="151" customWidth="1"/>
    <col min="14856" max="14856" width="3.6640625" style="151" customWidth="1"/>
    <col min="14857" max="14860" width="5.6640625" style="151" customWidth="1"/>
    <col min="14861" max="14861" width="15.6640625" style="151" customWidth="1"/>
    <col min="14862" max="15104" width="12.5546875" style="151"/>
    <col min="15105" max="15105" width="3.6640625" style="151" customWidth="1"/>
    <col min="15106" max="15106" width="11.6640625" style="151" customWidth="1"/>
    <col min="15107" max="15107" width="9.6640625" style="151" customWidth="1"/>
    <col min="15108" max="15109" width="3.6640625" style="151" customWidth="1"/>
    <col min="15110" max="15110" width="30.33203125" style="151" customWidth="1"/>
    <col min="15111" max="15111" width="12.6640625" style="151" customWidth="1"/>
    <col min="15112" max="15112" width="3.6640625" style="151" customWidth="1"/>
    <col min="15113" max="15116" width="5.6640625" style="151" customWidth="1"/>
    <col min="15117" max="15117" width="15.6640625" style="151" customWidth="1"/>
    <col min="15118" max="15360" width="12.5546875" style="151"/>
    <col min="15361" max="15361" width="3.6640625" style="151" customWidth="1"/>
    <col min="15362" max="15362" width="11.6640625" style="151" customWidth="1"/>
    <col min="15363" max="15363" width="9.6640625" style="151" customWidth="1"/>
    <col min="15364" max="15365" width="3.6640625" style="151" customWidth="1"/>
    <col min="15366" max="15366" width="30.33203125" style="151" customWidth="1"/>
    <col min="15367" max="15367" width="12.6640625" style="151" customWidth="1"/>
    <col min="15368" max="15368" width="3.6640625" style="151" customWidth="1"/>
    <col min="15369" max="15372" width="5.6640625" style="151" customWidth="1"/>
    <col min="15373" max="15373" width="15.6640625" style="151" customWidth="1"/>
    <col min="15374" max="15616" width="12.5546875" style="151"/>
    <col min="15617" max="15617" width="3.6640625" style="151" customWidth="1"/>
    <col min="15618" max="15618" width="11.6640625" style="151" customWidth="1"/>
    <col min="15619" max="15619" width="9.6640625" style="151" customWidth="1"/>
    <col min="15620" max="15621" width="3.6640625" style="151" customWidth="1"/>
    <col min="15622" max="15622" width="30.33203125" style="151" customWidth="1"/>
    <col min="15623" max="15623" width="12.6640625" style="151" customWidth="1"/>
    <col min="15624" max="15624" width="3.6640625" style="151" customWidth="1"/>
    <col min="15625" max="15628" width="5.6640625" style="151" customWidth="1"/>
    <col min="15629" max="15629" width="15.6640625" style="151" customWidth="1"/>
    <col min="15630" max="15872" width="12.5546875" style="151"/>
    <col min="15873" max="15873" width="3.6640625" style="151" customWidth="1"/>
    <col min="15874" max="15874" width="11.6640625" style="151" customWidth="1"/>
    <col min="15875" max="15875" width="9.6640625" style="151" customWidth="1"/>
    <col min="15876" max="15877" width="3.6640625" style="151" customWidth="1"/>
    <col min="15878" max="15878" width="30.33203125" style="151" customWidth="1"/>
    <col min="15879" max="15879" width="12.6640625" style="151" customWidth="1"/>
    <col min="15880" max="15880" width="3.6640625" style="151" customWidth="1"/>
    <col min="15881" max="15884" width="5.6640625" style="151" customWidth="1"/>
    <col min="15885" max="15885" width="15.6640625" style="151" customWidth="1"/>
    <col min="15886" max="16128" width="12.5546875" style="151"/>
    <col min="16129" max="16129" width="3.6640625" style="151" customWidth="1"/>
    <col min="16130" max="16130" width="11.6640625" style="151" customWidth="1"/>
    <col min="16131" max="16131" width="9.6640625" style="151" customWidth="1"/>
    <col min="16132" max="16133" width="3.6640625" style="151" customWidth="1"/>
    <col min="16134" max="16134" width="30.33203125" style="151" customWidth="1"/>
    <col min="16135" max="16135" width="12.6640625" style="151" customWidth="1"/>
    <col min="16136" max="16136" width="3.6640625" style="151" customWidth="1"/>
    <col min="16137" max="16140" width="5.6640625" style="151" customWidth="1"/>
    <col min="16141" max="16141" width="15.6640625" style="151" customWidth="1"/>
    <col min="16142" max="16384" width="12.5546875" style="151"/>
  </cols>
  <sheetData>
    <row r="3" spans="1:15" ht="24" customHeight="1" x14ac:dyDescent="0.2">
      <c r="A3" s="446" t="s">
        <v>157</v>
      </c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</row>
    <row r="4" spans="1:15" s="156" customFormat="1" ht="7.5" customHeight="1" x14ac:dyDescent="0.2">
      <c r="A4" s="152"/>
      <c r="B4" s="153"/>
      <c r="C4" s="153"/>
      <c r="D4" s="153"/>
      <c r="E4" s="153"/>
      <c r="F4" s="153"/>
      <c r="G4" s="154"/>
      <c r="H4" s="154"/>
      <c r="I4" s="154"/>
      <c r="J4" s="154"/>
      <c r="K4" s="154"/>
      <c r="L4" s="154"/>
      <c r="M4" s="155"/>
    </row>
    <row r="5" spans="1:15" s="156" customFormat="1" ht="15" customHeight="1" x14ac:dyDescent="0.2">
      <c r="A5" s="111"/>
      <c r="B5" s="157" t="s">
        <v>158</v>
      </c>
      <c r="C5" s="157"/>
      <c r="D5" s="157"/>
      <c r="E5" s="157"/>
      <c r="F5" s="153"/>
      <c r="G5" s="458">
        <v>1.38</v>
      </c>
      <c r="H5" s="458"/>
      <c r="I5" s="154"/>
      <c r="J5" s="154"/>
      <c r="K5" s="154"/>
      <c r="L5" s="154"/>
      <c r="M5" s="155"/>
    </row>
    <row r="6" spans="1:15" s="156" customFormat="1" ht="15" customHeight="1" x14ac:dyDescent="0.2">
      <c r="A6" s="111"/>
      <c r="B6" s="459" t="s">
        <v>159</v>
      </c>
      <c r="C6" s="459"/>
      <c r="D6" s="459"/>
      <c r="E6" s="459"/>
      <c r="F6" s="459"/>
      <c r="G6" s="460">
        <f>+'GASTOS GENERALES'!F12</f>
        <v>2098036.6882603788</v>
      </c>
      <c r="H6" s="461"/>
      <c r="I6" s="154"/>
      <c r="J6" s="154"/>
      <c r="K6" s="154"/>
      <c r="L6" s="154"/>
      <c r="M6" s="155"/>
    </row>
    <row r="7" spans="1:15" s="156" customFormat="1" x14ac:dyDescent="0.2">
      <c r="A7" s="158"/>
      <c r="B7" s="159"/>
      <c r="C7" s="159"/>
      <c r="D7" s="159"/>
      <c r="E7" s="159"/>
      <c r="F7" s="160"/>
      <c r="G7" s="160"/>
      <c r="H7" s="159"/>
      <c r="I7" s="159"/>
      <c r="J7" s="159"/>
      <c r="K7" s="159"/>
      <c r="L7" s="159"/>
      <c r="M7" s="161"/>
      <c r="O7" s="156" t="s">
        <v>309</v>
      </c>
    </row>
    <row r="8" spans="1:15" s="165" customFormat="1" ht="21" customHeight="1" x14ac:dyDescent="0.2">
      <c r="A8" s="162" t="s">
        <v>160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4"/>
      <c r="O8" s="165">
        <v>3.84</v>
      </c>
    </row>
    <row r="9" spans="1:15" s="156" customFormat="1" x14ac:dyDescent="0.2">
      <c r="A9" s="152"/>
      <c r="B9" s="153"/>
      <c r="C9" s="153"/>
      <c r="D9" s="153"/>
      <c r="E9" s="153"/>
      <c r="F9" s="154"/>
      <c r="G9" s="154"/>
      <c r="H9" s="153"/>
      <c r="I9" s="153"/>
      <c r="J9" s="153"/>
      <c r="K9" s="153"/>
      <c r="L9" s="153"/>
      <c r="M9" s="166"/>
    </row>
    <row r="10" spans="1:15" s="165" customFormat="1" x14ac:dyDescent="0.2">
      <c r="A10" s="167" t="s">
        <v>149</v>
      </c>
      <c r="B10" s="168"/>
      <c r="C10" s="168"/>
      <c r="D10" s="168"/>
      <c r="E10" s="168"/>
      <c r="F10" s="114"/>
      <c r="G10" s="114"/>
      <c r="H10" s="114"/>
      <c r="I10" s="114"/>
      <c r="J10" s="114"/>
      <c r="K10" s="114"/>
      <c r="L10" s="114"/>
      <c r="M10" s="169"/>
    </row>
    <row r="11" spans="1:15" s="165" customFormat="1" x14ac:dyDescent="0.2">
      <c r="A11" s="111"/>
      <c r="B11" s="114" t="s">
        <v>161</v>
      </c>
      <c r="C11" s="170">
        <v>1.4999999999999999E-2</v>
      </c>
      <c r="D11" s="114"/>
      <c r="E11" s="114"/>
      <c r="F11" s="171"/>
      <c r="G11" s="172"/>
      <c r="H11" s="114"/>
      <c r="I11" s="114"/>
      <c r="J11" s="114"/>
      <c r="K11" s="114"/>
      <c r="L11" s="173"/>
      <c r="M11" s="174"/>
    </row>
    <row r="12" spans="1:15" s="165" customFormat="1" x14ac:dyDescent="0.2">
      <c r="A12" s="111"/>
      <c r="B12" s="114"/>
      <c r="C12" s="114"/>
      <c r="D12" s="114"/>
      <c r="E12" s="114"/>
      <c r="F12" s="171" t="s">
        <v>162</v>
      </c>
      <c r="G12" s="175">
        <f>+G5</f>
        <v>1.38</v>
      </c>
      <c r="H12" s="114"/>
      <c r="I12" s="114"/>
      <c r="J12" s="114"/>
      <c r="K12" s="114"/>
      <c r="L12" s="173"/>
      <c r="M12" s="174"/>
    </row>
    <row r="13" spans="1:15" s="156" customFormat="1" ht="7.5" customHeight="1" x14ac:dyDescent="0.2">
      <c r="A13" s="111"/>
      <c r="B13" s="153"/>
      <c r="C13" s="153"/>
      <c r="D13" s="153"/>
      <c r="E13" s="176"/>
      <c r="F13" s="153"/>
      <c r="G13" s="153"/>
      <c r="H13" s="153"/>
      <c r="I13" s="153"/>
      <c r="J13" s="153"/>
      <c r="K13" s="153"/>
      <c r="L13" s="153"/>
      <c r="M13" s="166"/>
    </row>
    <row r="14" spans="1:15" s="165" customFormat="1" ht="18" customHeight="1" x14ac:dyDescent="0.2">
      <c r="A14" s="111"/>
      <c r="B14" s="114" t="s">
        <v>163</v>
      </c>
      <c r="C14" s="114"/>
      <c r="D14" s="114"/>
      <c r="E14" s="177" t="s">
        <v>308</v>
      </c>
      <c r="F14" s="173">
        <f>ROUND(22*0.06*Seguros!G6*0.1,0)/O8</f>
        <v>72120.052083333343</v>
      </c>
      <c r="G14" s="114"/>
      <c r="H14" s="114"/>
      <c r="I14" s="58" t="s">
        <v>164</v>
      </c>
      <c r="J14" s="63"/>
      <c r="K14" s="63"/>
      <c r="L14" s="63"/>
      <c r="M14" s="178">
        <f>ROUND((C11*G12/12)*F14,2)</f>
        <v>124.41</v>
      </c>
    </row>
    <row r="15" spans="1:15" s="165" customFormat="1" ht="12.75" customHeight="1" x14ac:dyDescent="0.2">
      <c r="A15" s="111"/>
      <c r="B15" s="114"/>
      <c r="C15" s="114"/>
      <c r="D15" s="114"/>
      <c r="E15" s="114"/>
      <c r="F15" s="173"/>
      <c r="G15" s="114"/>
      <c r="H15" s="114"/>
      <c r="I15" s="114"/>
      <c r="J15" s="114"/>
      <c r="K15" s="114"/>
      <c r="L15" s="114"/>
      <c r="M15" s="169"/>
    </row>
    <row r="16" spans="1:15" s="165" customFormat="1" x14ac:dyDescent="0.2">
      <c r="A16" s="167" t="s">
        <v>150</v>
      </c>
      <c r="B16" s="168"/>
      <c r="C16" s="168"/>
      <c r="D16" s="168"/>
      <c r="E16" s="168"/>
      <c r="F16" s="114"/>
      <c r="G16" s="114"/>
      <c r="H16" s="114"/>
      <c r="I16" s="114"/>
      <c r="J16" s="114"/>
      <c r="K16" s="114"/>
      <c r="L16" s="114"/>
      <c r="M16" s="169"/>
    </row>
    <row r="17" spans="1:13" s="165" customFormat="1" x14ac:dyDescent="0.2">
      <c r="A17" s="111"/>
      <c r="B17" s="114" t="s">
        <v>161</v>
      </c>
      <c r="C17" s="170">
        <v>1.4607E-2</v>
      </c>
      <c r="D17" s="114"/>
      <c r="E17" s="114"/>
      <c r="F17" s="171"/>
      <c r="G17" s="172"/>
      <c r="H17" s="114"/>
      <c r="I17" s="114"/>
      <c r="J17" s="114"/>
      <c r="K17" s="114"/>
      <c r="L17" s="173"/>
      <c r="M17" s="174"/>
    </row>
    <row r="18" spans="1:13" s="165" customFormat="1" x14ac:dyDescent="0.2">
      <c r="A18" s="111"/>
      <c r="B18" s="114"/>
      <c r="C18" s="114"/>
      <c r="D18" s="114"/>
      <c r="E18" s="114"/>
      <c r="F18" s="171" t="s">
        <v>162</v>
      </c>
      <c r="G18" s="175">
        <f>+G12</f>
        <v>1.38</v>
      </c>
      <c r="H18" s="114"/>
      <c r="I18" s="114"/>
      <c r="J18" s="114"/>
      <c r="K18" s="114"/>
      <c r="L18" s="173"/>
      <c r="M18" s="174"/>
    </row>
    <row r="19" spans="1:13" s="156" customFormat="1" ht="7.5" customHeight="1" x14ac:dyDescent="0.2">
      <c r="A19" s="111"/>
      <c r="B19" s="153"/>
      <c r="C19" s="153"/>
      <c r="D19" s="153"/>
      <c r="E19" s="176"/>
      <c r="F19" s="153"/>
      <c r="G19" s="153"/>
      <c r="H19" s="153"/>
      <c r="I19" s="153"/>
      <c r="J19" s="153"/>
      <c r="K19" s="153"/>
      <c r="L19" s="153"/>
      <c r="M19" s="166"/>
    </row>
    <row r="20" spans="1:13" s="165" customFormat="1" ht="18" customHeight="1" x14ac:dyDescent="0.2">
      <c r="A20" s="111"/>
      <c r="B20" s="114" t="s">
        <v>165</v>
      </c>
      <c r="C20" s="114"/>
      <c r="D20" s="114"/>
      <c r="E20" s="177" t="s">
        <v>308</v>
      </c>
      <c r="F20" s="173">
        <f>+'GG VARIABLE'!G39</f>
        <v>221435.12</v>
      </c>
      <c r="G20" s="114"/>
      <c r="H20" s="114"/>
      <c r="I20" s="58" t="s">
        <v>164</v>
      </c>
      <c r="J20" s="63"/>
      <c r="K20" s="63"/>
      <c r="L20" s="63"/>
      <c r="M20" s="178">
        <f>ROUND((C17)*F20,2)</f>
        <v>3234.5</v>
      </c>
    </row>
    <row r="21" spans="1:13" s="165" customFormat="1" ht="12.75" customHeight="1" x14ac:dyDescent="0.2">
      <c r="A21" s="111"/>
      <c r="B21" s="114"/>
      <c r="C21" s="114"/>
      <c r="D21" s="114"/>
      <c r="E21" s="114"/>
      <c r="F21" s="173"/>
      <c r="G21" s="114"/>
      <c r="H21" s="114"/>
      <c r="I21" s="114"/>
      <c r="J21" s="114"/>
      <c r="K21" s="114"/>
      <c r="L21" s="114"/>
      <c r="M21" s="169"/>
    </row>
    <row r="22" spans="1:13" s="165" customFormat="1" x14ac:dyDescent="0.2">
      <c r="A22" s="167" t="s">
        <v>151</v>
      </c>
      <c r="B22" s="168"/>
      <c r="C22" s="168"/>
      <c r="D22" s="168"/>
      <c r="E22" s="168"/>
      <c r="F22" s="114"/>
      <c r="G22" s="114"/>
      <c r="H22" s="114"/>
      <c r="I22" s="114"/>
      <c r="J22" s="114"/>
      <c r="K22" s="114"/>
      <c r="L22" s="114"/>
      <c r="M22" s="169"/>
    </row>
    <row r="23" spans="1:13" s="165" customFormat="1" x14ac:dyDescent="0.2">
      <c r="A23" s="111"/>
      <c r="B23" s="114" t="s">
        <v>161</v>
      </c>
      <c r="C23" s="170">
        <v>0.02</v>
      </c>
      <c r="D23" s="114"/>
      <c r="E23" s="114"/>
      <c r="F23" s="171"/>
      <c r="G23" s="172"/>
      <c r="H23" s="114"/>
      <c r="I23" s="114"/>
      <c r="J23" s="114"/>
      <c r="K23" s="114"/>
      <c r="L23" s="173"/>
      <c r="M23" s="174"/>
    </row>
    <row r="24" spans="1:13" s="165" customFormat="1" x14ac:dyDescent="0.2">
      <c r="A24" s="111"/>
      <c r="B24" s="114"/>
      <c r="C24" s="114"/>
      <c r="D24" s="114"/>
      <c r="E24" s="114"/>
      <c r="F24" s="171" t="s">
        <v>166</v>
      </c>
      <c r="G24" s="175">
        <f>+G18</f>
        <v>1.38</v>
      </c>
      <c r="H24" s="114"/>
      <c r="I24" s="114"/>
      <c r="J24" s="114"/>
      <c r="K24" s="114"/>
      <c r="L24" s="173"/>
      <c r="M24" s="174"/>
    </row>
    <row r="25" spans="1:13" s="156" customFormat="1" ht="7.5" customHeight="1" x14ac:dyDescent="0.2">
      <c r="A25" s="111"/>
      <c r="B25" s="153"/>
      <c r="C25" s="153"/>
      <c r="D25" s="153"/>
      <c r="E25" s="176"/>
      <c r="F25" s="153"/>
      <c r="G25" s="153"/>
      <c r="H25" s="153"/>
      <c r="I25" s="153"/>
      <c r="J25" s="153"/>
      <c r="K25" s="153"/>
      <c r="L25" s="153"/>
      <c r="M25" s="166"/>
    </row>
    <row r="26" spans="1:13" s="165" customFormat="1" ht="18" customHeight="1" x14ac:dyDescent="0.2">
      <c r="A26" s="111"/>
      <c r="B26" s="114" t="s">
        <v>165</v>
      </c>
      <c r="C26" s="114"/>
      <c r="D26" s="114"/>
      <c r="E26" s="177" t="s">
        <v>308</v>
      </c>
      <c r="F26" s="173">
        <f>+'GG FIJO'!G43+'GG VARIABLE'!G39</f>
        <v>246005.12</v>
      </c>
      <c r="G26" s="114"/>
      <c r="H26" s="114"/>
      <c r="I26" s="58" t="s">
        <v>164</v>
      </c>
      <c r="J26" s="63"/>
      <c r="K26" s="63"/>
      <c r="L26" s="63"/>
      <c r="M26" s="178">
        <f>ROUND((C23*G24/12)*F26,2)</f>
        <v>565.80999999999995</v>
      </c>
    </row>
    <row r="27" spans="1:13" s="165" customFormat="1" ht="12.75" customHeight="1" x14ac:dyDescent="0.2">
      <c r="A27" s="111"/>
      <c r="B27" s="114"/>
      <c r="C27" s="114"/>
      <c r="D27" s="114"/>
      <c r="E27" s="114"/>
      <c r="F27" s="173"/>
      <c r="G27" s="114"/>
      <c r="H27" s="114"/>
      <c r="I27" s="114"/>
      <c r="J27" s="114"/>
      <c r="K27" s="114"/>
      <c r="L27" s="114"/>
      <c r="M27" s="169"/>
    </row>
    <row r="28" spans="1:13" s="165" customFormat="1" x14ac:dyDescent="0.2">
      <c r="A28" s="167" t="s">
        <v>152</v>
      </c>
      <c r="B28" s="168"/>
      <c r="C28" s="168"/>
      <c r="D28" s="168"/>
      <c r="E28" s="168"/>
      <c r="F28" s="114"/>
      <c r="G28" s="114"/>
      <c r="H28" s="114"/>
      <c r="I28" s="114"/>
      <c r="J28" s="114"/>
      <c r="K28" s="114"/>
      <c r="L28" s="114"/>
      <c r="M28" s="169"/>
    </row>
    <row r="29" spans="1:13" s="165" customFormat="1" x14ac:dyDescent="0.2">
      <c r="A29" s="111"/>
      <c r="B29" s="114" t="s">
        <v>161</v>
      </c>
      <c r="C29" s="179">
        <v>7.5</v>
      </c>
      <c r="D29" s="114" t="s">
        <v>167</v>
      </c>
      <c r="E29" s="114"/>
      <c r="F29" s="171" t="s">
        <v>168</v>
      </c>
      <c r="G29" s="172">
        <v>1000000</v>
      </c>
      <c r="H29" s="114"/>
      <c r="I29" s="114"/>
      <c r="J29" s="114"/>
      <c r="K29" s="114"/>
      <c r="L29" s="173"/>
      <c r="M29" s="174"/>
    </row>
    <row r="30" spans="1:13" s="165" customFormat="1" ht="15.75" customHeight="1" x14ac:dyDescent="0.2">
      <c r="A30" s="111"/>
      <c r="B30" s="114"/>
      <c r="C30" s="114"/>
      <c r="D30" s="114"/>
      <c r="E30" s="114"/>
      <c r="F30" s="171" t="s">
        <v>166</v>
      </c>
      <c r="G30" s="175">
        <f>+G18</f>
        <v>1.38</v>
      </c>
      <c r="H30" s="114"/>
      <c r="I30" s="114"/>
      <c r="J30" s="114"/>
      <c r="K30" s="114"/>
      <c r="L30" s="173"/>
      <c r="M30" s="174"/>
    </row>
    <row r="31" spans="1:13" s="156" customFormat="1" ht="7.5" customHeight="1" x14ac:dyDescent="0.2">
      <c r="A31" s="111"/>
      <c r="B31" s="153"/>
      <c r="C31" s="153"/>
      <c r="D31" s="153"/>
      <c r="E31" s="176"/>
      <c r="F31" s="153"/>
      <c r="G31" s="153"/>
      <c r="H31" s="153"/>
      <c r="I31" s="153"/>
      <c r="J31" s="153"/>
      <c r="K31" s="153"/>
      <c r="L31" s="153"/>
      <c r="M31" s="166"/>
    </row>
    <row r="32" spans="1:13" s="165" customFormat="1" ht="18" customHeight="1" x14ac:dyDescent="0.2">
      <c r="A32" s="111"/>
      <c r="B32" s="114" t="s">
        <v>163</v>
      </c>
      <c r="C32" s="114"/>
      <c r="D32" s="114"/>
      <c r="E32" s="280" t="s">
        <v>308</v>
      </c>
      <c r="F32" s="173">
        <f>ROUND(+G29*3,0)/O8</f>
        <v>781250</v>
      </c>
      <c r="G32" s="114"/>
      <c r="H32" s="114"/>
      <c r="I32" s="58" t="s">
        <v>164</v>
      </c>
      <c r="J32" s="63"/>
      <c r="K32" s="63"/>
      <c r="L32" s="63"/>
      <c r="M32" s="178">
        <f>ROUND((C29/1000*G30/12)*F32,2)</f>
        <v>673.83</v>
      </c>
    </row>
    <row r="33" spans="1:13" s="165" customFormat="1" ht="12.75" customHeight="1" x14ac:dyDescent="0.2">
      <c r="A33" s="111"/>
      <c r="B33" s="114"/>
      <c r="C33" s="114"/>
      <c r="D33" s="114"/>
      <c r="E33" s="114"/>
      <c r="F33" s="173"/>
      <c r="G33" s="114"/>
      <c r="H33" s="114"/>
      <c r="I33" s="114"/>
      <c r="J33" s="114"/>
      <c r="K33" s="114"/>
      <c r="L33" s="114"/>
      <c r="M33" s="169"/>
    </row>
    <row r="34" spans="1:13" s="165" customFormat="1" x14ac:dyDescent="0.2">
      <c r="A34" s="167" t="s">
        <v>153</v>
      </c>
      <c r="B34" s="168"/>
      <c r="C34" s="168"/>
      <c r="D34" s="168"/>
      <c r="E34" s="168"/>
      <c r="F34" s="114"/>
      <c r="G34" s="114"/>
      <c r="H34" s="114"/>
      <c r="I34" s="114"/>
      <c r="J34" s="114"/>
      <c r="K34" s="114"/>
      <c r="L34" s="114"/>
      <c r="M34" s="169"/>
    </row>
    <row r="35" spans="1:13" s="165" customFormat="1" x14ac:dyDescent="0.2">
      <c r="A35" s="111"/>
      <c r="B35" s="114"/>
      <c r="C35" s="114"/>
      <c r="D35" s="114"/>
      <c r="E35" s="114"/>
      <c r="F35" s="171" t="s">
        <v>169</v>
      </c>
      <c r="G35" s="172">
        <f>+G36</f>
        <v>2098036.6882603788</v>
      </c>
      <c r="H35" s="114"/>
      <c r="I35" s="114"/>
      <c r="J35" s="114"/>
      <c r="K35" s="114"/>
      <c r="L35" s="173"/>
      <c r="M35" s="169"/>
    </row>
    <row r="36" spans="1:13" s="165" customFormat="1" ht="15.75" customHeight="1" x14ac:dyDescent="0.2">
      <c r="A36" s="111"/>
      <c r="B36" s="114" t="s">
        <v>170</v>
      </c>
      <c r="C36" s="179">
        <v>5</v>
      </c>
      <c r="D36" s="114" t="s">
        <v>167</v>
      </c>
      <c r="E36" s="114"/>
      <c r="F36" s="171" t="s">
        <v>171</v>
      </c>
      <c r="G36" s="172">
        <f>+G6</f>
        <v>2098036.6882603788</v>
      </c>
      <c r="H36" s="114"/>
      <c r="I36" s="114"/>
      <c r="J36" s="114"/>
      <c r="K36" s="114"/>
      <c r="L36" s="173"/>
      <c r="M36" s="174">
        <f>ROUND((C36/1000*G38/12)*G36,2)</f>
        <v>1206.3699999999999</v>
      </c>
    </row>
    <row r="37" spans="1:13" ht="20.100000000000001" customHeight="1" x14ac:dyDescent="0.2">
      <c r="A37" s="111"/>
      <c r="B37" s="114" t="s">
        <v>161</v>
      </c>
      <c r="C37" s="179">
        <v>5</v>
      </c>
      <c r="D37" s="114" t="s">
        <v>167</v>
      </c>
      <c r="E37" s="114"/>
      <c r="F37" s="171" t="s">
        <v>172</v>
      </c>
      <c r="G37" s="180">
        <v>0.2</v>
      </c>
      <c r="H37" s="114"/>
      <c r="I37" s="114"/>
      <c r="J37" s="114"/>
      <c r="K37" s="114"/>
      <c r="L37" s="173"/>
      <c r="M37" s="174"/>
    </row>
    <row r="38" spans="1:13" ht="15.75" customHeight="1" x14ac:dyDescent="0.2">
      <c r="A38" s="111"/>
      <c r="B38" s="114"/>
      <c r="C38" s="114"/>
      <c r="D38" s="114"/>
      <c r="E38" s="114"/>
      <c r="F38" s="171" t="s">
        <v>166</v>
      </c>
      <c r="G38" s="175">
        <f>+G30</f>
        <v>1.38</v>
      </c>
      <c r="H38" s="114"/>
      <c r="I38" s="114"/>
      <c r="J38" s="114"/>
      <c r="K38" s="114"/>
      <c r="L38" s="114"/>
      <c r="M38" s="169"/>
    </row>
    <row r="39" spans="1:13" ht="15.75" customHeight="1" x14ac:dyDescent="0.2">
      <c r="A39" s="111"/>
      <c r="B39" s="114" t="s">
        <v>163</v>
      </c>
      <c r="C39" s="114"/>
      <c r="D39" s="114"/>
      <c r="E39" s="280" t="s">
        <v>308</v>
      </c>
      <c r="F39" s="171">
        <f>ROUND(+G35*G37,0)</f>
        <v>419607</v>
      </c>
      <c r="G39" s="114"/>
      <c r="H39" s="114"/>
      <c r="I39" s="114"/>
      <c r="J39" s="114"/>
      <c r="K39" s="114"/>
      <c r="L39" s="114"/>
      <c r="M39" s="181">
        <f>ROUND((C37/1000*G38/12)*F39,2)</f>
        <v>241.27</v>
      </c>
    </row>
    <row r="40" spans="1:13" s="156" customFormat="1" ht="7.5" customHeight="1" x14ac:dyDescent="0.2">
      <c r="A40" s="111"/>
      <c r="B40" s="153"/>
      <c r="C40" s="153"/>
      <c r="D40" s="153"/>
      <c r="E40" s="176"/>
      <c r="F40" s="153"/>
      <c r="G40" s="153"/>
      <c r="H40" s="153"/>
      <c r="I40" s="153"/>
      <c r="J40" s="153"/>
      <c r="K40" s="153"/>
      <c r="L40" s="153"/>
      <c r="M40" s="166"/>
    </row>
    <row r="41" spans="1:13" s="165" customFormat="1" ht="18" customHeight="1" x14ac:dyDescent="0.2">
      <c r="A41" s="111"/>
      <c r="B41" s="114"/>
      <c r="C41" s="114"/>
      <c r="D41" s="114"/>
      <c r="E41" s="177"/>
      <c r="F41" s="173"/>
      <c r="G41" s="114"/>
      <c r="H41" s="114"/>
      <c r="I41" s="58" t="s">
        <v>164</v>
      </c>
      <c r="J41" s="63"/>
      <c r="K41" s="63"/>
      <c r="L41" s="63"/>
      <c r="M41" s="178">
        <f>SUM(M36:M39)</f>
        <v>1447.6399999999999</v>
      </c>
    </row>
    <row r="42" spans="1:13" s="165" customFormat="1" ht="12.75" customHeight="1" x14ac:dyDescent="0.2">
      <c r="A42" s="111"/>
      <c r="B42" s="114"/>
      <c r="C42" s="114"/>
      <c r="D42" s="114"/>
      <c r="E42" s="114"/>
      <c r="F42" s="173"/>
      <c r="G42" s="114"/>
      <c r="H42" s="114"/>
      <c r="I42" s="114"/>
      <c r="J42" s="114"/>
      <c r="K42" s="114"/>
      <c r="L42" s="114"/>
      <c r="M42" s="169"/>
    </row>
    <row r="43" spans="1:13" s="165" customFormat="1" x14ac:dyDescent="0.2">
      <c r="A43" s="111"/>
      <c r="B43" s="114"/>
      <c r="C43" s="114"/>
      <c r="D43" s="114"/>
      <c r="E43" s="114"/>
      <c r="F43" s="173"/>
      <c r="G43" s="114"/>
      <c r="H43" s="114"/>
      <c r="I43" s="114"/>
      <c r="J43" s="114"/>
      <c r="K43" s="114"/>
      <c r="L43" s="114"/>
      <c r="M43" s="169"/>
    </row>
    <row r="44" spans="1:13" s="186" customFormat="1" ht="24" customHeight="1" x14ac:dyDescent="0.3">
      <c r="A44" s="182"/>
      <c r="B44" s="183"/>
      <c r="C44" s="183"/>
      <c r="D44" s="183"/>
      <c r="E44" s="183"/>
      <c r="F44" s="183"/>
      <c r="G44" s="183"/>
      <c r="H44" s="183"/>
      <c r="I44" s="183"/>
      <c r="J44" s="183"/>
      <c r="K44" s="183"/>
      <c r="L44" s="184" t="s">
        <v>310</v>
      </c>
      <c r="M44" s="185">
        <f>ROUND((M14+M20+M26+M32+M41),2)</f>
        <v>6046.19</v>
      </c>
    </row>
    <row r="45" spans="1:13" x14ac:dyDescent="0.2">
      <c r="A45" s="111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69"/>
    </row>
    <row r="46" spans="1:13" s="165" customFormat="1" x14ac:dyDescent="0.2">
      <c r="A46" s="167" t="s">
        <v>154</v>
      </c>
      <c r="B46" s="168"/>
      <c r="C46" s="168"/>
      <c r="D46" s="168"/>
      <c r="E46" s="168"/>
      <c r="F46" s="114"/>
      <c r="G46" s="114"/>
      <c r="H46" s="114"/>
      <c r="I46" s="187">
        <v>0.03</v>
      </c>
      <c r="J46" s="114" t="s">
        <v>173</v>
      </c>
      <c r="K46" s="114"/>
      <c r="L46" s="114"/>
      <c r="M46" s="103">
        <f>ROUND(I46*M44,2)</f>
        <v>181.39</v>
      </c>
    </row>
    <row r="47" spans="1:13" s="165" customFormat="1" x14ac:dyDescent="0.2">
      <c r="A47" s="167"/>
      <c r="B47" s="168"/>
      <c r="C47" s="168"/>
      <c r="D47" s="168"/>
      <c r="E47" s="168"/>
      <c r="F47" s="114"/>
      <c r="G47" s="114"/>
      <c r="H47" s="114"/>
      <c r="I47" s="114"/>
      <c r="J47" s="114"/>
      <c r="K47" s="114"/>
      <c r="L47" s="114"/>
      <c r="M47" s="169"/>
    </row>
    <row r="48" spans="1:13" s="186" customFormat="1" ht="24" customHeight="1" x14ac:dyDescent="0.3">
      <c r="A48" s="90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188" t="s">
        <v>311</v>
      </c>
      <c r="M48" s="189">
        <f>SUM(M44:M46)</f>
        <v>6227.58</v>
      </c>
    </row>
    <row r="49" spans="1:13" x14ac:dyDescent="0.2">
      <c r="A49" s="165"/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</row>
    <row r="50" spans="1:13" x14ac:dyDescent="0.2">
      <c r="A50" s="165"/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</row>
    <row r="51" spans="1:13" x14ac:dyDescent="0.2">
      <c r="A51" s="165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</row>
    <row r="52" spans="1:13" x14ac:dyDescent="0.2">
      <c r="A52" s="165"/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</row>
    <row r="53" spans="1:13" x14ac:dyDescent="0.2">
      <c r="A53" s="165"/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</row>
  </sheetData>
  <mergeCells count="4">
    <mergeCell ref="A3:M3"/>
    <mergeCell ref="G5:H5"/>
    <mergeCell ref="B6:F6"/>
    <mergeCell ref="G6:H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10</vt:i4>
      </vt:variant>
    </vt:vector>
  </HeadingPairs>
  <TitlesOfParts>
    <vt:vector size="18" baseType="lpstr">
      <vt:lpstr>PRESUPUESTO</vt:lpstr>
      <vt:lpstr>GASTOS GENERALES</vt:lpstr>
      <vt:lpstr>EPPS</vt:lpstr>
      <vt:lpstr>GG FIJO</vt:lpstr>
      <vt:lpstr>GG VARIABLE</vt:lpstr>
      <vt:lpstr>Mat. Seguridad</vt:lpstr>
      <vt:lpstr>Gestión Amb.</vt:lpstr>
      <vt:lpstr>Seguros</vt:lpstr>
      <vt:lpstr>EPPS!Área_de_impresión</vt:lpstr>
      <vt:lpstr>'GASTOS GENERALES'!Área_de_impresión</vt:lpstr>
      <vt:lpstr>'Gestión Amb.'!Área_de_impresión</vt:lpstr>
      <vt:lpstr>'GG FIJO'!Área_de_impresión</vt:lpstr>
      <vt:lpstr>'GG VARIABLE'!Área_de_impresión</vt:lpstr>
      <vt:lpstr>PRESUPUESTO!Área_de_impresión</vt:lpstr>
      <vt:lpstr>Seguros!Área_de_impresión</vt:lpstr>
      <vt:lpstr>'Gestión Amb.'!Títulos_a_imprimir</vt:lpstr>
      <vt:lpstr>'GG VARIABLE'!Títulos_a_imprimir</vt:lpstr>
      <vt:lpstr>PRESUPUESTO!Títulos_a_imprimir</vt:lpstr>
    </vt:vector>
  </TitlesOfParts>
  <Company>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Silva</dc:creator>
  <cp:lastModifiedBy>DELL</cp:lastModifiedBy>
  <cp:lastPrinted>2022-06-07T14:20:17Z</cp:lastPrinted>
  <dcterms:created xsi:type="dcterms:W3CDTF">2018-02-15T23:04:46Z</dcterms:created>
  <dcterms:modified xsi:type="dcterms:W3CDTF">2022-06-07T14:28:18Z</dcterms:modified>
</cp:coreProperties>
</file>