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LICITACIONES\LICITACION OHL CHIMBOTE\PROPUESTA 2\PPTA ECONOMICA 09-20-22\"/>
    </mc:Choice>
  </mc:AlternateContent>
  <xr:revisionPtr revIDLastSave="0" documentId="13_ncr:1_{47550103-2F9C-46F9-ADA2-39670999034A}" xr6:coauthVersionLast="47" xr6:coauthVersionMax="47" xr10:uidLastSave="{00000000-0000-0000-0000-000000000000}"/>
  <bookViews>
    <workbookView xWindow="-108" yWindow="-108" windowWidth="23256" windowHeight="12720" tabRatio="704" xr2:uid="{00000000-000D-0000-FFFF-FFFF00000000}"/>
  </bookViews>
  <sheets>
    <sheet name="DATOS GENERALES" sheetId="12" r:id="rId1"/>
    <sheet name="PRESUPUESTO" sheetId="8" r:id="rId2"/>
    <sheet name="GG Y UTLIDAD" sheetId="1" r:id="rId3"/>
    <sheet name="DESAGREGADO GG" sheetId="11" r:id="rId4"/>
    <sheet name="DETALLE GG" sheetId="10" r:id="rId5"/>
    <sheet name="EPPS" sheetId="9" r:id="rId6"/>
  </sheets>
  <externalReferences>
    <externalReference r:id="rId7"/>
    <externalReference r:id="rId8"/>
    <externalReference r:id="rId9"/>
    <externalReference r:id="rId10"/>
  </externalReferences>
  <definedNames>
    <definedName name="__123Graph_AGraph10" localSheetId="2" hidden="1">[1]EXP!#REF!</definedName>
    <definedName name="__123Graph_AGraph10" hidden="1">[1]EXP!#REF!</definedName>
    <definedName name="__123Graph_AGraph11" localSheetId="2" hidden="1">[1]EXP!#REF!</definedName>
    <definedName name="__123Graph_AGraph11" hidden="1">[1]EXP!#REF!</definedName>
    <definedName name="__123Graph_AGraph12" localSheetId="2" hidden="1">[1]EXP!#REF!</definedName>
    <definedName name="__123Graph_AGraph12" hidden="1">[1]EXP!#REF!</definedName>
    <definedName name="__123Graph_AGraph13" localSheetId="2" hidden="1">[1]EXP!#REF!</definedName>
    <definedName name="__123Graph_AGraph13" hidden="1">[1]EXP!#REF!</definedName>
    <definedName name="__123Graph_AGraph14" localSheetId="2" hidden="1">[1]EXP!#REF!</definedName>
    <definedName name="__123Graph_AGraph14" hidden="1">[1]EXP!#REF!</definedName>
    <definedName name="__123Graph_AGraph15" localSheetId="2" hidden="1">[1]EXP!#REF!</definedName>
    <definedName name="__123Graph_AGraph15" hidden="1">[1]EXP!#REF!</definedName>
    <definedName name="__123Graph_AGraph16" localSheetId="2" hidden="1">[1]EXP!#REF!</definedName>
    <definedName name="__123Graph_AGraph16" hidden="1">[1]EXP!#REF!</definedName>
    <definedName name="__123Graph_AGraph17" localSheetId="2" hidden="1">[1]EXP!#REF!</definedName>
    <definedName name="__123Graph_AGraph17" hidden="1">[1]EXP!#REF!</definedName>
    <definedName name="__123Graph_AGraph18" localSheetId="2" hidden="1">[1]EXP!#REF!</definedName>
    <definedName name="__123Graph_AGraph18" hidden="1">[1]EXP!#REF!</definedName>
    <definedName name="__123Graph_AGraph2" localSheetId="2" hidden="1">[1]EXP!#REF!</definedName>
    <definedName name="__123Graph_AGraph2" hidden="1">[1]EXP!#REF!</definedName>
    <definedName name="__123Graph_AGraph3" localSheetId="2" hidden="1">[1]EXP!#REF!</definedName>
    <definedName name="__123Graph_AGraph3" hidden="1">[1]EXP!#REF!</definedName>
    <definedName name="__123Graph_AGraph4" localSheetId="2" hidden="1">[1]EXP!#REF!</definedName>
    <definedName name="__123Graph_AGraph4" hidden="1">[1]EXP!#REF!</definedName>
    <definedName name="__123Graph_AGraph5" localSheetId="2" hidden="1">[1]EXP!#REF!</definedName>
    <definedName name="__123Graph_AGraph5" hidden="1">[1]EXP!#REF!</definedName>
    <definedName name="__123Graph_AGraph6" localSheetId="2" hidden="1">[1]EXP!#REF!</definedName>
    <definedName name="__123Graph_AGraph6" hidden="1">[1]EXP!#REF!</definedName>
    <definedName name="__123Graph_AGraph7" localSheetId="2" hidden="1">[1]EXP!#REF!</definedName>
    <definedName name="__123Graph_AGraph7" hidden="1">[1]EXP!#REF!</definedName>
    <definedName name="__123Graph_AGraph8" localSheetId="2" hidden="1">[1]EXP!#REF!</definedName>
    <definedName name="__123Graph_AGraph8" hidden="1">[1]EXP!#REF!</definedName>
    <definedName name="__123Graph_AGraph9" localSheetId="2" hidden="1">[1]EXP!#REF!</definedName>
    <definedName name="__123Graph_AGraph9" hidden="1">[1]EXP!#REF!</definedName>
    <definedName name="__123Graph_X" localSheetId="2" hidden="1">'[2]F-05'!#REF!</definedName>
    <definedName name="__123Graph_X" hidden="1">'[2]F-05'!#REF!</definedName>
    <definedName name="__123Graph_XGRA1" localSheetId="2" hidden="1">'[2]F-05'!#REF!</definedName>
    <definedName name="__123Graph_XGRA1" hidden="1">'[2]F-05'!#REF!</definedName>
    <definedName name="__123Graph_XGRA2" localSheetId="2" hidden="1">'[2]F-05'!#REF!</definedName>
    <definedName name="__123Graph_XGRA2" hidden="1">'[2]F-05'!#REF!</definedName>
    <definedName name="__123Graph_XGraph10" localSheetId="2" hidden="1">[1]EXP!#REF!</definedName>
    <definedName name="__123Graph_XGraph10" hidden="1">[1]EXP!#REF!</definedName>
    <definedName name="__123Graph_XGraph11" localSheetId="2" hidden="1">[1]EXP!#REF!</definedName>
    <definedName name="__123Graph_XGraph11" hidden="1">[1]EXP!#REF!</definedName>
    <definedName name="__123Graph_XGraph12" localSheetId="2" hidden="1">[1]EXP!#REF!</definedName>
    <definedName name="__123Graph_XGraph12" hidden="1">[1]EXP!#REF!</definedName>
    <definedName name="__123Graph_XGraph13" localSheetId="2" hidden="1">[1]EXP!#REF!</definedName>
    <definedName name="__123Graph_XGraph13" hidden="1">[1]EXP!#REF!</definedName>
    <definedName name="__123Graph_XGraph14" localSheetId="2" hidden="1">[1]EXP!#REF!</definedName>
    <definedName name="__123Graph_XGraph14" hidden="1">[1]EXP!#REF!</definedName>
    <definedName name="__123Graph_XGraph15" localSheetId="2" hidden="1">[1]EXP!#REF!</definedName>
    <definedName name="__123Graph_XGraph15" hidden="1">[1]EXP!#REF!</definedName>
    <definedName name="__123Graph_XGraph16" localSheetId="2" hidden="1">[1]EXP!#REF!</definedName>
    <definedName name="__123Graph_XGraph16" hidden="1">[1]EXP!#REF!</definedName>
    <definedName name="__123Graph_XGraph17" localSheetId="2" hidden="1">[1]EXP!#REF!</definedName>
    <definedName name="__123Graph_XGraph17" hidden="1">[1]EXP!#REF!</definedName>
    <definedName name="__123Graph_XGraph18" localSheetId="2" hidden="1">[1]EXP!#REF!</definedName>
    <definedName name="__123Graph_XGraph18" hidden="1">[1]EXP!#REF!</definedName>
    <definedName name="__123Graph_XGraph3" localSheetId="2" hidden="1">[1]EXP!#REF!</definedName>
    <definedName name="__123Graph_XGraph3" hidden="1">[1]EXP!#REF!</definedName>
    <definedName name="__123Graph_XGraph4" localSheetId="2" hidden="1">[1]EXP!#REF!</definedName>
    <definedName name="__123Graph_XGraph4" hidden="1">[1]EXP!#REF!</definedName>
    <definedName name="__123Graph_XGraph5" localSheetId="2" hidden="1">[1]EXP!#REF!</definedName>
    <definedName name="__123Graph_XGraph5" hidden="1">[1]EXP!#REF!</definedName>
    <definedName name="__123Graph_XGraph6" localSheetId="2" hidden="1">[1]EXP!#REF!</definedName>
    <definedName name="__123Graph_XGraph6" hidden="1">[1]EXP!#REF!</definedName>
    <definedName name="__123Graph_XGraph7" localSheetId="2" hidden="1">[1]EXP!#REF!</definedName>
    <definedName name="__123Graph_XGraph7" hidden="1">[1]EXP!#REF!</definedName>
    <definedName name="__123Graph_XGraph8" localSheetId="2" hidden="1">[1]EXP!#REF!</definedName>
    <definedName name="__123Graph_XGraph8" hidden="1">[1]EXP!#REF!</definedName>
    <definedName name="__123Graph_XGraph9" localSheetId="2" hidden="1">[1]EXP!#REF!</definedName>
    <definedName name="__123Graph_XGraph9" hidden="1">[1]EXP!#REF!</definedName>
    <definedName name="_Fill" localSheetId="2" hidden="1">'[2]F-05'!#REF!</definedName>
    <definedName name="_Fill" hidden="1">'[2]F-05'!#REF!</definedName>
    <definedName name="_Key1" localSheetId="2" hidden="1">#REF!</definedName>
    <definedName name="_Key1" hidden="1">#REF!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_xlnm.Print_Area" localSheetId="0">'DATOS GENERALES'!$B$2:$J$31</definedName>
    <definedName name="_xlnm.Print_Area" localSheetId="3">'DESAGREGADO GG'!$B$1:$F$34</definedName>
    <definedName name="_xlnm.Print_Area" localSheetId="5">EPPS!$A$1:$K$20</definedName>
    <definedName name="_xlnm.Print_Area" localSheetId="2">'GG Y UTLIDAD'!$A$2:$G$35</definedName>
    <definedName name="_xlnm.Print_Area" localSheetId="1">PRESUPUESTO!$B$1:$G$83</definedName>
    <definedName name="graf" localSheetId="2" hidden="1">'[3]LIMA-CANTA'!#REF!</definedName>
    <definedName name="graf" hidden="1">'[3]LIMA-CANTA'!#REF!</definedName>
    <definedName name="graph0" localSheetId="2" hidden="1">'[3]LIMA-CANTA'!#REF!</definedName>
    <definedName name="graph0" hidden="1">'[3]LIMA-CANTA'!#REF!</definedName>
    <definedName name="Graph1" localSheetId="2" hidden="1">'[3]LIMA-CANTA'!#REF!</definedName>
    <definedName name="Graph1" hidden="1">'[3]LIMA-CANTA'!#REF!</definedName>
    <definedName name="_xlnm.Print_Titles" localSheetId="1">PRESUPUESTO!$1:$7</definedName>
    <definedName name="viuda" localSheetId="2" hidden="1">'[3]LIMA-CANTA'!#REF!</definedName>
    <definedName name="viuda" hidden="1">'[3]LIMA-CANTA'!#REF!</definedName>
    <definedName name="w" localSheetId="2" hidden="1">'[3]LIMA-CANTA'!#REF!</definedName>
    <definedName name="w" hidden="1">'[3]LIMA-CANTA'!#REF!</definedName>
    <definedName name="wra" localSheetId="2" hidden="1">'[3]LIMA-CANTA'!#REF!</definedName>
    <definedName name="wra" hidden="1">'[3]LIMA-CANTA'!#REF!</definedName>
    <definedName name="xGraph11" localSheetId="2" hidden="1">'[3]LIMA-CANTA'!#REF!</definedName>
    <definedName name="xGraph11" hidden="1">'[3]LIMA-CANTA'!#REF!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2" l="1"/>
  <c r="I76" i="10"/>
  <c r="I83" i="10"/>
  <c r="I78" i="10"/>
  <c r="I77" i="10"/>
  <c r="I75" i="10"/>
  <c r="G22" i="12"/>
  <c r="G26" i="12"/>
  <c r="I64" i="8" l="1"/>
  <c r="I63" i="8"/>
  <c r="I53" i="8"/>
  <c r="I52" i="8"/>
  <c r="I44" i="8"/>
  <c r="I43" i="8"/>
  <c r="I36" i="8"/>
  <c r="I35" i="8"/>
  <c r="L9" i="10" l="1"/>
  <c r="I9" i="10"/>
  <c r="C9" i="10"/>
  <c r="C8" i="10"/>
  <c r="B9" i="10"/>
  <c r="B8" i="10"/>
  <c r="C8" i="11"/>
  <c r="C7" i="11"/>
  <c r="B7" i="11"/>
  <c r="B8" i="11"/>
  <c r="C8" i="1"/>
  <c r="A8" i="1"/>
  <c r="A7" i="1"/>
  <c r="H75" i="10" l="1"/>
  <c r="K75" i="10"/>
  <c r="K77" i="10"/>
  <c r="K76" i="10"/>
  <c r="H71" i="10"/>
  <c r="K71" i="10"/>
  <c r="I72" i="10"/>
  <c r="K72" i="10" s="1"/>
  <c r="I66" i="10"/>
  <c r="K66" i="10" s="1"/>
  <c r="N16" i="10"/>
  <c r="N19" i="10"/>
  <c r="N21" i="10"/>
  <c r="N25" i="10"/>
  <c r="N28" i="10"/>
  <c r="N30" i="10"/>
  <c r="N32" i="10"/>
  <c r="N35" i="10"/>
  <c r="N37" i="10"/>
  <c r="I45" i="10"/>
  <c r="K45" i="10" s="1"/>
  <c r="I46" i="10"/>
  <c r="K46" i="10" s="1"/>
  <c r="K78" i="10"/>
  <c r="H83" i="10"/>
  <c r="K82" i="10"/>
  <c r="L82" i="10" s="1"/>
  <c r="K81" i="10"/>
  <c r="L81" i="10" s="1"/>
  <c r="K80" i="10"/>
  <c r="L80" i="10" s="1"/>
  <c r="K79" i="10"/>
  <c r="L79" i="10" s="1"/>
  <c r="H78" i="10"/>
  <c r="H77" i="10"/>
  <c r="H76" i="10"/>
  <c r="K73" i="10"/>
  <c r="H73" i="10"/>
  <c r="H72" i="10"/>
  <c r="K70" i="10"/>
  <c r="H70" i="10"/>
  <c r="I68" i="10"/>
  <c r="K68" i="10" s="1"/>
  <c r="H68" i="10"/>
  <c r="H66" i="10"/>
  <c r="H65" i="10"/>
  <c r="H64" i="10"/>
  <c r="H62" i="10"/>
  <c r="H61" i="10"/>
  <c r="K59" i="10"/>
  <c r="H59" i="10"/>
  <c r="K58" i="10"/>
  <c r="H58" i="10"/>
  <c r="K55" i="10"/>
  <c r="H55" i="10"/>
  <c r="K54" i="10"/>
  <c r="H54" i="10"/>
  <c r="I53" i="10"/>
  <c r="K53" i="10" s="1"/>
  <c r="H53" i="10"/>
  <c r="K51" i="10"/>
  <c r="H51" i="10"/>
  <c r="K49" i="10"/>
  <c r="H49" i="10"/>
  <c r="H46" i="10"/>
  <c r="H45" i="10"/>
  <c r="J43" i="10"/>
  <c r="K43" i="10" s="1"/>
  <c r="H43" i="10"/>
  <c r="J42" i="10"/>
  <c r="K42" i="10" s="1"/>
  <c r="H42" i="10"/>
  <c r="J41" i="10"/>
  <c r="K41" i="10" s="1"/>
  <c r="H41" i="10"/>
  <c r="J40" i="10"/>
  <c r="K40" i="10" s="1"/>
  <c r="H40" i="10"/>
  <c r="J37" i="10"/>
  <c r="K37" i="10" s="1"/>
  <c r="H37" i="10"/>
  <c r="J32" i="10"/>
  <c r="K32" i="10" s="1"/>
  <c r="H32" i="10"/>
  <c r="J35" i="10"/>
  <c r="K35" i="10" s="1"/>
  <c r="H35" i="10"/>
  <c r="J34" i="10"/>
  <c r="K34" i="10" s="1"/>
  <c r="H34" i="10"/>
  <c r="J30" i="10"/>
  <c r="K30" i="10" s="1"/>
  <c r="H30" i="10"/>
  <c r="J28" i="10"/>
  <c r="K28" i="10" s="1"/>
  <c r="H28" i="10"/>
  <c r="J27" i="10"/>
  <c r="K27" i="10" s="1"/>
  <c r="H27" i="10"/>
  <c r="J25" i="10"/>
  <c r="K25" i="10" s="1"/>
  <c r="H25" i="10"/>
  <c r="J24" i="10"/>
  <c r="K24" i="10" s="1"/>
  <c r="H24" i="10"/>
  <c r="J23" i="10"/>
  <c r="K23" i="10" s="1"/>
  <c r="H23" i="10"/>
  <c r="J21" i="10"/>
  <c r="K21" i="10" s="1"/>
  <c r="H21" i="10"/>
  <c r="J19" i="10"/>
  <c r="K19" i="10" s="1"/>
  <c r="H19" i="10"/>
  <c r="J18" i="10"/>
  <c r="K18" i="10" s="1"/>
  <c r="H18" i="10"/>
  <c r="J16" i="10"/>
  <c r="K16" i="10" s="1"/>
  <c r="H16" i="10"/>
  <c r="F12" i="10"/>
  <c r="G12" i="10" s="1"/>
  <c r="N43" i="10" l="1"/>
  <c r="O43" i="10" s="1"/>
  <c r="L75" i="10"/>
  <c r="L71" i="10"/>
  <c r="O37" i="10"/>
  <c r="L73" i="10"/>
  <c r="L16" i="10"/>
  <c r="L15" i="10" s="1"/>
  <c r="L76" i="10"/>
  <c r="L54" i="10"/>
  <c r="L43" i="10"/>
  <c r="L45" i="10"/>
  <c r="L77" i="10"/>
  <c r="L19" i="10"/>
  <c r="L49" i="10"/>
  <c r="L48" i="10" s="1"/>
  <c r="L58" i="10"/>
  <c r="L37" i="10"/>
  <c r="L36" i="10" s="1"/>
  <c r="L18" i="10"/>
  <c r="L24" i="10"/>
  <c r="L51" i="10"/>
  <c r="L50" i="10" s="1"/>
  <c r="F17" i="11" s="1"/>
  <c r="L55" i="10"/>
  <c r="L42" i="10"/>
  <c r="L66" i="10"/>
  <c r="L68" i="10"/>
  <c r="L70" i="10"/>
  <c r="L23" i="10"/>
  <c r="L30" i="10"/>
  <c r="L41" i="10"/>
  <c r="L53" i="10"/>
  <c r="L59" i="10"/>
  <c r="L25" i="10"/>
  <c r="L40" i="10"/>
  <c r="L46" i="10"/>
  <c r="L28" i="10"/>
  <c r="L34" i="10"/>
  <c r="L35" i="10"/>
  <c r="L32" i="10"/>
  <c r="L31" i="10" s="1"/>
  <c r="K83" i="10"/>
  <c r="L83" i="10" s="1"/>
  <c r="L27" i="10"/>
  <c r="L21" i="10"/>
  <c r="L78" i="10"/>
  <c r="L72" i="10"/>
  <c r="I65" i="10" l="1"/>
  <c r="K65" i="10" s="1"/>
  <c r="L65" i="10" s="1"/>
  <c r="I64" i="10"/>
  <c r="K64" i="10" s="1"/>
  <c r="L64" i="10" s="1"/>
  <c r="N61" i="10"/>
  <c r="F16" i="11"/>
  <c r="L69" i="10"/>
  <c r="F23" i="11" s="1"/>
  <c r="L52" i="10"/>
  <c r="F18" i="11" s="1"/>
  <c r="L74" i="10"/>
  <c r="L44" i="10"/>
  <c r="F15" i="11" s="1"/>
  <c r="L22" i="10"/>
  <c r="L63" i="10"/>
  <c r="F21" i="11" s="1"/>
  <c r="L39" i="10"/>
  <c r="L38" i="10" s="1"/>
  <c r="F14" i="11" s="1"/>
  <c r="L17" i="10"/>
  <c r="L67" i="10"/>
  <c r="F22" i="11" s="1"/>
  <c r="L57" i="10"/>
  <c r="L29" i="10"/>
  <c r="L20" i="10"/>
  <c r="L33" i="10"/>
  <c r="L26" i="10"/>
  <c r="L47" i="10" l="1"/>
  <c r="L14" i="10"/>
  <c r="F26" i="11"/>
  <c r="F25" i="11"/>
  <c r="F17" i="1" s="1"/>
  <c r="F19" i="11"/>
  <c r="F13" i="11" l="1"/>
  <c r="L13" i="10"/>
  <c r="F8" i="1" l="1"/>
  <c r="G8" i="1"/>
  <c r="D79" i="8"/>
  <c r="G38" i="1"/>
  <c r="E19" i="9" l="1"/>
  <c r="K19" i="9"/>
  <c r="H19" i="9"/>
  <c r="B19" i="9"/>
  <c r="J38" i="1" l="1"/>
  <c r="I61" i="10" l="1"/>
  <c r="K61" i="10" s="1"/>
  <c r="L61" i="10" s="1"/>
  <c r="I62" i="10"/>
  <c r="K62" i="10" s="1"/>
  <c r="L62" i="10" s="1"/>
  <c r="L60" i="10" l="1"/>
  <c r="L56" i="10" s="1"/>
  <c r="K85" i="10" s="1"/>
  <c r="F20" i="11" l="1"/>
  <c r="F12" i="11" s="1"/>
  <c r="F20" i="1" s="1"/>
  <c r="F28" i="11" l="1"/>
  <c r="F24" i="1"/>
  <c r="G80" i="8" l="1"/>
  <c r="F75" i="8" l="1"/>
  <c r="G75" i="8" s="1"/>
  <c r="F44" i="8" l="1"/>
  <c r="G44" i="8" s="1"/>
  <c r="F52" i="8"/>
  <c r="G52" i="8" s="1"/>
  <c r="F45" i="8"/>
  <c r="G45" i="8" s="1"/>
  <c r="F53" i="8"/>
  <c r="G53" i="8" s="1"/>
  <c r="F76" i="8" l="1"/>
  <c r="G76" i="8" s="1"/>
  <c r="G74" i="8" s="1"/>
  <c r="F11" i="8"/>
  <c r="G11" i="8" s="1"/>
  <c r="F9" i="8" l="1"/>
  <c r="G9" i="8" s="1"/>
  <c r="F25" i="8" l="1"/>
  <c r="G25" i="8" s="1"/>
  <c r="F13" i="8" l="1"/>
  <c r="G13" i="8" s="1"/>
  <c r="F14" i="8" l="1"/>
  <c r="G14" i="8" s="1"/>
  <c r="G12" i="8" s="1"/>
  <c r="F51" i="8" l="1"/>
  <c r="G51" i="8" s="1"/>
  <c r="F43" i="8"/>
  <c r="G43" i="8" s="1"/>
  <c r="F50" i="8"/>
  <c r="G50" i="8" s="1"/>
  <c r="F10" i="8" l="1"/>
  <c r="G10" i="8" s="1"/>
  <c r="G8" i="8" s="1"/>
  <c r="F34" i="8"/>
  <c r="G34" i="8" s="1"/>
  <c r="F26" i="8" l="1"/>
  <c r="G26" i="8" s="1"/>
  <c r="G24" i="8" s="1"/>
  <c r="F66" i="8"/>
  <c r="G66" i="8" s="1"/>
  <c r="F56" i="8"/>
  <c r="G56" i="8" s="1"/>
  <c r="F70" i="8"/>
  <c r="G70" i="8" s="1"/>
  <c r="F23" i="8"/>
  <c r="G23" i="8" s="1"/>
  <c r="F55" i="8"/>
  <c r="G55" i="8" s="1"/>
  <c r="F48" i="8"/>
  <c r="G48" i="8" s="1"/>
  <c r="F60" i="8"/>
  <c r="G60" i="8" s="1"/>
  <c r="F73" i="8"/>
  <c r="G73" i="8" s="1"/>
  <c r="F38" i="8"/>
  <c r="G38" i="8" s="1"/>
  <c r="F68" i="8"/>
  <c r="G68" i="8" s="1"/>
  <c r="F61" i="8"/>
  <c r="G61" i="8" s="1"/>
  <c r="F39" i="8"/>
  <c r="G39" i="8" s="1"/>
  <c r="F21" i="8" l="1"/>
  <c r="G21" i="8" s="1"/>
  <c r="F57" i="8"/>
  <c r="G57" i="8" s="1"/>
  <c r="F33" i="8"/>
  <c r="G33" i="8" s="1"/>
  <c r="F72" i="8"/>
  <c r="G72" i="8" s="1"/>
  <c r="G71" i="8" s="1"/>
  <c r="F41" i="8"/>
  <c r="G41" i="8" s="1"/>
  <c r="F47" i="8"/>
  <c r="G47" i="8" s="1"/>
  <c r="G46" i="8" s="1"/>
  <c r="F30" i="8"/>
  <c r="G30" i="8" s="1"/>
  <c r="F69" i="8"/>
  <c r="G69" i="8" s="1"/>
  <c r="F67" i="8"/>
  <c r="G67" i="8" s="1"/>
  <c r="F22" i="8"/>
  <c r="G22" i="8" s="1"/>
  <c r="F62" i="8"/>
  <c r="G62" i="8" s="1"/>
  <c r="F49" i="8"/>
  <c r="G49" i="8" s="1"/>
  <c r="F20" i="8"/>
  <c r="G20" i="8" s="1"/>
  <c r="F32" i="8"/>
  <c r="G32" i="8" s="1"/>
  <c r="F31" i="8"/>
  <c r="G31" i="8" s="1"/>
  <c r="F29" i="8"/>
  <c r="G29" i="8" s="1"/>
  <c r="F42" i="8"/>
  <c r="G42" i="8" s="1"/>
  <c r="F58" i="8" l="1"/>
  <c r="G58" i="8" s="1"/>
  <c r="G54" i="8" s="1"/>
  <c r="F40" i="8"/>
  <c r="G40" i="8" s="1"/>
  <c r="G37" i="8" s="1"/>
  <c r="F35" i="8"/>
  <c r="G35" i="8" s="1"/>
  <c r="G19" i="8"/>
  <c r="F65" i="8" l="1"/>
  <c r="G65" i="8" s="1"/>
  <c r="G64" i="8" s="1"/>
  <c r="F63" i="8"/>
  <c r="G63" i="8" s="1"/>
  <c r="G59" i="8" s="1"/>
  <c r="F36" i="8"/>
  <c r="G36" i="8" s="1"/>
  <c r="G28" i="8" s="1"/>
  <c r="G27" i="8" s="1"/>
  <c r="F17" i="8" l="1"/>
  <c r="G17" i="8" s="1"/>
  <c r="F18" i="8" l="1"/>
  <c r="G18" i="8" s="1"/>
  <c r="G16" i="8" s="1"/>
  <c r="G15" i="8" s="1"/>
  <c r="G78" i="8" s="1"/>
  <c r="F12" i="1" s="1"/>
  <c r="G24" i="1" l="1"/>
  <c r="G17" i="1"/>
  <c r="F26" i="1"/>
  <c r="G20" i="1"/>
  <c r="G28" i="1" l="1"/>
  <c r="D80" i="8"/>
  <c r="F28" i="1"/>
  <c r="F31" i="1" s="1"/>
  <c r="F34" i="1" s="1"/>
  <c r="F43" i="1" s="1"/>
  <c r="G79" i="8"/>
  <c r="G81" i="8" s="1"/>
  <c r="G82" i="8" s="1"/>
  <c r="G83" i="8" s="1"/>
  <c r="G18" i="12" s="1"/>
</calcChain>
</file>

<file path=xl/sharedStrings.xml><?xml version="1.0" encoding="utf-8"?>
<sst xmlns="http://schemas.openxmlformats.org/spreadsheetml/2006/main" count="477" uniqueCount="295">
  <si>
    <t>%</t>
  </si>
  <si>
    <t>COSTO DIRECTO</t>
  </si>
  <si>
    <t>1.-</t>
  </si>
  <si>
    <t>GASTOS GENERALES</t>
  </si>
  <si>
    <t>A.-</t>
  </si>
  <si>
    <t>GASTOS FIJOS</t>
  </si>
  <si>
    <t>No directamente relacionados con el tiempo</t>
  </si>
  <si>
    <t>B.-</t>
  </si>
  <si>
    <t>GASTOS VARIABLES</t>
  </si>
  <si>
    <t>Directamente relacionados con el tiempo</t>
  </si>
  <si>
    <t>TOTAL DE GASTOS GENERALES</t>
  </si>
  <si>
    <t>UTILIDAD</t>
  </si>
  <si>
    <t>2.-</t>
  </si>
  <si>
    <t>I.G.V.</t>
  </si>
  <si>
    <t>GASTOS GENERALES FIJOS</t>
  </si>
  <si>
    <t>m2</t>
  </si>
  <si>
    <t>TOTAL</t>
  </si>
  <si>
    <t>mes</t>
  </si>
  <si>
    <t>glb</t>
  </si>
  <si>
    <t>GASTOS GENERALES VARIABLES</t>
  </si>
  <si>
    <t>1.09</t>
  </si>
  <si>
    <t>SUBTOTAL</t>
  </si>
  <si>
    <t>GASTOS FINANCIEROS</t>
  </si>
  <si>
    <t>MONEDA NACIONAL</t>
  </si>
  <si>
    <t>DESAGREGADO DE GASTOS GENERALES</t>
  </si>
  <si>
    <t>PRESUPUESTO OFERTADO</t>
  </si>
  <si>
    <t>DESCRIPCIÓN</t>
  </si>
  <si>
    <t>TOTAL PRESUPUESTO</t>
  </si>
  <si>
    <t>3.-</t>
  </si>
  <si>
    <t>4.-</t>
  </si>
  <si>
    <t>5.-</t>
  </si>
  <si>
    <t>Estación Total</t>
  </si>
  <si>
    <t>Implementos de Seguridad Profesionales y Técnicos</t>
  </si>
  <si>
    <t>und</t>
  </si>
  <si>
    <t>EPP</t>
  </si>
  <si>
    <t>P.U</t>
  </si>
  <si>
    <t>CASCO</t>
  </si>
  <si>
    <t>BARBIQUEJO</t>
  </si>
  <si>
    <t>TAPONES AUDITIVOS</t>
  </si>
  <si>
    <t>PANTALON</t>
  </si>
  <si>
    <t>CAMISA</t>
  </si>
  <si>
    <t>POLO MANGA LARGA</t>
  </si>
  <si>
    <t>BOTAS PUNTA DE ACERO</t>
  </si>
  <si>
    <t>GUANTES</t>
  </si>
  <si>
    <t>LENTES .OSCUROS</t>
  </si>
  <si>
    <t>LENTES BLANCOS</t>
  </si>
  <si>
    <t>CORTAVIENTOS</t>
  </si>
  <si>
    <t xml:space="preserve">MASCARILLA KM95 CAJA </t>
  </si>
  <si>
    <t>Implementos de Seguridad Administrativo y Auxiliar</t>
  </si>
  <si>
    <t>Implementos de Seguridad Operadores</t>
  </si>
  <si>
    <t xml:space="preserve">Implementos de Seguridad Obreros </t>
  </si>
  <si>
    <t>*No incluye IGV</t>
  </si>
  <si>
    <t>PRESUPUESTO</t>
  </si>
  <si>
    <t>SERVICIO DE CONSTRUCCIÓN DE DIQUES Y PROTECCIÓN DE TALUDES DE DIQUES CON ENROCADO DEL SECTOR 2 SUBPROYECTO A4 PAMPA DEL TORO</t>
  </si>
  <si>
    <t>Fecha Pres.</t>
  </si>
  <si>
    <r>
      <rPr>
        <b/>
        <sz val="10"/>
        <color rgb="FFFFFFFF"/>
        <rFont val="Calibri"/>
        <family val="2"/>
      </rPr>
      <t>ÍTEM</t>
    </r>
  </si>
  <si>
    <r>
      <rPr>
        <b/>
        <sz val="10"/>
        <color rgb="FFFFFFFF"/>
        <rFont val="Calibri"/>
        <family val="2"/>
      </rPr>
      <t>DESCRIPCIÓN</t>
    </r>
  </si>
  <si>
    <r>
      <rPr>
        <b/>
        <sz val="10"/>
        <color rgb="FFFFFFFF"/>
        <rFont val="Calibri"/>
        <family val="2"/>
      </rPr>
      <t>UNIDAD</t>
    </r>
  </si>
  <si>
    <r>
      <rPr>
        <b/>
        <sz val="10"/>
        <color rgb="FFFFFFFF"/>
        <rFont val="Calibri"/>
        <family val="2"/>
      </rPr>
      <t>METRADO</t>
    </r>
  </si>
  <si>
    <t>P.U.</t>
  </si>
  <si>
    <t>SEGURIDAD Y SALUD OCUPACIONAL</t>
  </si>
  <si>
    <t>IMPLEMENTACIÓN DEL PLAN PARA LA VIGILANCIA, PREVENCIÓN Y CONTROL DE COVID-19 EN EL TRABAJO</t>
  </si>
  <si>
    <t>Utilidad</t>
  </si>
  <si>
    <t>Gastos Generales</t>
  </si>
  <si>
    <t>IGV</t>
  </si>
  <si>
    <t>S/.</t>
  </si>
  <si>
    <t>PERFILADO Y COMPACTACIÓN EN ZONA DE CORTE</t>
  </si>
  <si>
    <t>MOVILIZACION Y DESMOVILIZACION DE EQUIPOS</t>
  </si>
  <si>
    <t>km</t>
  </si>
  <si>
    <t>ROCE Y LIMPIEZA DE MALEZA</t>
  </si>
  <si>
    <t>MEJORAMIENTO DE VIAS EXISTENTES</t>
  </si>
  <si>
    <t>DEMOLICIÓN DE ESTRUCTURAS EXISTENTES</t>
  </si>
  <si>
    <t>m3</t>
  </si>
  <si>
    <t>REPOSICIÓN DE PASE DE AGUA TUBERÍA HDPE Ø=36"</t>
  </si>
  <si>
    <t>M</t>
  </si>
  <si>
    <t>REPOSICIÓN DE PASE DE AGUA TUBERÍA HDPE Ø=24"</t>
  </si>
  <si>
    <t>SUMINISTRO Y MONTAJE DE LOSAS DE C°A° 1.6mx1.0mx0.20m EN PASE DE AGUA</t>
  </si>
  <si>
    <t>CONCRETO 175 Kg/Cm2</t>
  </si>
  <si>
    <t>ENCOFRADO Y DESENCOFRADO NORMAL</t>
  </si>
  <si>
    <t>INSTALACIONES PROVISIONALES PARA LA OBRA</t>
  </si>
  <si>
    <t>DESBROCE Y LIMPIEZA EN ZONA NO BOSCOSA</t>
  </si>
  <si>
    <t>EXCAVACIÓN EN TERRENO NATURAL CON EQUIPO</t>
  </si>
  <si>
    <t>CONFORMACIÓN DE CUERPO DE DIQUE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</si>
  <si>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</si>
  <si>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</si>
  <si>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</si>
  <si>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</si>
  <si>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RELLENO ESTRUCTURAL CON MATERIAL PROPIO</t>
  </si>
  <si>
    <t>EXCAVACIÓN EN MATERIAL SUELTO CON EQUIPO</t>
  </si>
  <si>
    <t>MATERIAL AFIRMADO e=25 cm</t>
  </si>
  <si>
    <t>PERFILADO Y COMPACTACIÓN CON EQUIPO DE FONDO DE EXCAVACIÓN</t>
  </si>
  <si>
    <t>COLOCACION DE ROCA EN CAUCE</t>
  </si>
  <si>
    <t>TRANPORTE DE MATERIAL GRANULAR PARA DISTANCIAS &lt;1KM</t>
  </si>
  <si>
    <t>m3·km</t>
  </si>
  <si>
    <t>TRANPORTE DE MATERIAL GRANULAR PARA DISTANCIAS &gt;1KM</t>
  </si>
  <si>
    <t>TRANPORTE DE ROCA PARA DISTANCIAS &lt;1KM</t>
  </si>
  <si>
    <t>TRANPORTE DE ROCA PARA DISTANCIAS &gt;1KM</t>
  </si>
  <si>
    <t>TRANPORTE DE MATERIAL EXCEDENTE PARA DISTANCIAS &lt;1KM</t>
  </si>
  <si>
    <t>TRANPORTE DE MATERIAL EXCEDENTE PARA DISTANCIAS &gt;1KM</t>
  </si>
  <si>
    <t>ACONDICIONAMIENTO DE DEPOSITOS DE MATERIALES EXCEDENTES (DME)</t>
  </si>
  <si>
    <t>RESTAURACIÓN DE ÁREAS DE INSTALACIONES PROVISIONALES</t>
  </si>
  <si>
    <t>OBRAS PRELIMINARES</t>
  </si>
  <si>
    <t>CARTEL DE IDENTIFICACIÓN DE OBRA 4.8 m x 3.60 m</t>
  </si>
  <si>
    <t>MANTENIMIENTO DE TRANSITO Y SEGURIDAD VIAL</t>
  </si>
  <si>
    <t>TRABAJOS PRELIMINARES</t>
  </si>
  <si>
    <t>TOPOGRAFIA Y GEOREFERENCIACION</t>
  </si>
  <si>
    <t>01.03.01</t>
  </si>
  <si>
    <t>MOVIMIENTO DE TIERRAS</t>
  </si>
  <si>
    <t>1.03.01.01</t>
  </si>
  <si>
    <t>1.03.01.02</t>
  </si>
  <si>
    <t>1.03.02</t>
  </si>
  <si>
    <t>REPOSICIÓN DE ESTRUCTURAS</t>
  </si>
  <si>
    <t>1.03.02.01</t>
  </si>
  <si>
    <t>1.03.02.02</t>
  </si>
  <si>
    <t>1.03.02.03</t>
  </si>
  <si>
    <t>1.03.02.04</t>
  </si>
  <si>
    <t>01.03.03</t>
  </si>
  <si>
    <t>ESTRUCTURAS DE CONCRETO</t>
  </si>
  <si>
    <t>1.03.03.01</t>
  </si>
  <si>
    <t>1.03.03.02</t>
  </si>
  <si>
    <t>DIQUES Y PROTECCIÓN DE CAUCE CON ENROCADO</t>
  </si>
  <si>
    <t>01.04.01</t>
  </si>
  <si>
    <t>DIQUE DE TIERRA COMPACTADA A4-PT-D-05</t>
  </si>
  <si>
    <t>01.04.01.01</t>
  </si>
  <si>
    <t>01.04.01.02</t>
  </si>
  <si>
    <t>01.04.01.03</t>
  </si>
  <si>
    <t>01.04.01.04</t>
  </si>
  <si>
    <t>01.04.01.05</t>
  </si>
  <si>
    <t>01.04.01.06</t>
  </si>
  <si>
    <t>01.04.01.07</t>
  </si>
  <si>
    <t>01.04.01.08</t>
  </si>
  <si>
    <t>01.04.02</t>
  </si>
  <si>
    <t>DIQUE DE TIERRA COMPACTADA A4-PT-D-04</t>
  </si>
  <si>
    <t>01.04.02.01</t>
  </si>
  <si>
    <t>01.04.02.02</t>
  </si>
  <si>
    <t>01.04.02.03</t>
  </si>
  <si>
    <t>01.04.02.04</t>
  </si>
  <si>
    <t>01.04.02.05</t>
  </si>
  <si>
    <t>01.04.02.06</t>
  </si>
  <si>
    <t>01.04.02.07</t>
  </si>
  <si>
    <t>01.04.02.08</t>
  </si>
  <si>
    <t>01.04.03</t>
  </si>
  <si>
    <t>PROTECCION DE TALUDES</t>
  </si>
  <si>
    <t>01.04.03.01</t>
  </si>
  <si>
    <t>01.04.03.02</t>
  </si>
  <si>
    <t>01.04.03.03</t>
  </si>
  <si>
    <t>01.04.03.04</t>
  </si>
  <si>
    <t>01.04.03.05</t>
  </si>
  <si>
    <t>01.04.03.06</t>
  </si>
  <si>
    <t>01.04.03.07</t>
  </si>
  <si>
    <t>REPOSICIÓN DE CAMINO DE ACCESO A4-RC-1</t>
  </si>
  <si>
    <t>01.05.01</t>
  </si>
  <si>
    <t>01.05.02</t>
  </si>
  <si>
    <t>01.05.03</t>
  </si>
  <si>
    <t>01.05.04</t>
  </si>
  <si>
    <t>PROTECCION DEL CAUCE CON ENROCADO</t>
  </si>
  <si>
    <t>01.06.01</t>
  </si>
  <si>
    <t>01.06.02</t>
  </si>
  <si>
    <t>01.06.03</t>
  </si>
  <si>
    <t>01.06.04</t>
  </si>
  <si>
    <t>TRANSPORTE DE MATERIAL</t>
  </si>
  <si>
    <t>01.07.01</t>
  </si>
  <si>
    <t>01.07.02</t>
  </si>
  <si>
    <t>01.07.03</t>
  </si>
  <si>
    <t>01.07.04</t>
  </si>
  <si>
    <t>01.07.05</t>
  </si>
  <si>
    <t>01.07.06</t>
  </si>
  <si>
    <t>PROGRAMA DE CIERRE DE OBRA</t>
  </si>
  <si>
    <t>01.08.01</t>
  </si>
  <si>
    <t>01.08.02</t>
  </si>
  <si>
    <t>01.09.01</t>
  </si>
  <si>
    <t>01.09.02</t>
  </si>
  <si>
    <t>*** Recursos ***</t>
  </si>
  <si>
    <t>*** Escala Temporal (meses) ***</t>
  </si>
  <si>
    <t>*** Costo ***</t>
  </si>
  <si>
    <t>Parcial S/
( 5 ) = ( 1 ) * ( 4 )</t>
  </si>
  <si>
    <t>Item</t>
  </si>
  <si>
    <t>Descripción</t>
  </si>
  <si>
    <t>Unidad</t>
  </si>
  <si>
    <t>Cantidad ( 1 )</t>
  </si>
  <si>
    <t>Salario Básico S/ ( 2 ) / Costo recurso</t>
  </si>
  <si>
    <t>LL.SS.
( 3 )</t>
  </si>
  <si>
    <t>Salario Bruto S/
( 4 ) = ( 2 ) + ( 3 )</t>
  </si>
  <si>
    <t>A</t>
  </si>
  <si>
    <t>PERSONAL DE DIRECCIÓN Y APOYO DE OBRA</t>
  </si>
  <si>
    <t>A.1</t>
  </si>
  <si>
    <t>Remuneración de PERSONAL DE DIRECCIÓN</t>
  </si>
  <si>
    <t>H-mes</t>
  </si>
  <si>
    <t>Gestión de la Seguridad, Medio Ambiente y Salud Ocupacional</t>
  </si>
  <si>
    <r>
      <t>Jefe de Seguridad, Salud y Medio Ambiente</t>
    </r>
    <r>
      <rPr>
        <sz val="8"/>
        <color rgb="FFC00000"/>
        <rFont val="Arial"/>
        <family val="2"/>
      </rPr>
      <t xml:space="preserve"> </t>
    </r>
    <r>
      <rPr>
        <b/>
        <sz val="8"/>
        <color rgb="FFC00000"/>
        <rFont val="Arial"/>
        <family val="2"/>
      </rPr>
      <t>(PERSONAL CLAVE)</t>
    </r>
  </si>
  <si>
    <t>Médico</t>
  </si>
  <si>
    <t>Administración de CONTRATOS</t>
  </si>
  <si>
    <t>Administrador de Contratos / Contrato Principal</t>
  </si>
  <si>
    <t>Gestión de OFICINA TÉCNICA &amp; CONTROL DE PROYECTO</t>
  </si>
  <si>
    <r>
      <t xml:space="preserve">Ingeniero de Planeamiento </t>
    </r>
    <r>
      <rPr>
        <b/>
        <sz val="8"/>
        <color rgb="FFC00000"/>
        <rFont val="Arial"/>
        <family val="2"/>
      </rPr>
      <t>(PERSONAL CLAVE)</t>
    </r>
  </si>
  <si>
    <t>Topógrafos</t>
  </si>
  <si>
    <t xml:space="preserve">Cadistas </t>
  </si>
  <si>
    <t>Gestion de la Calidad</t>
  </si>
  <si>
    <r>
      <t xml:space="preserve">Jefe de Calidad </t>
    </r>
    <r>
      <rPr>
        <b/>
        <sz val="8"/>
        <color rgb="FFC00000"/>
        <rFont val="Arial"/>
        <family val="2"/>
      </rPr>
      <t>(PERSONAL CLAVE)</t>
    </r>
  </si>
  <si>
    <t>Técnico de Laboratorio</t>
  </si>
  <si>
    <t>Gestión de la Construcción</t>
  </si>
  <si>
    <t>Ingeniero de Producción</t>
  </si>
  <si>
    <t>Gestión de Relaciones Comunitarias</t>
  </si>
  <si>
    <t>Administración</t>
  </si>
  <si>
    <t>Administrador de Obra</t>
  </si>
  <si>
    <t>Asistenta Social</t>
  </si>
  <si>
    <t>Gestión de Equipos</t>
  </si>
  <si>
    <t>A.2</t>
  </si>
  <si>
    <t>Remuneración de PERSONAL DE APOYO</t>
  </si>
  <si>
    <t>Auxiliares</t>
  </si>
  <si>
    <t>Auxiliares de administración</t>
  </si>
  <si>
    <t>Auxiliares de topografía</t>
  </si>
  <si>
    <t>Vigilancia</t>
  </si>
  <si>
    <t>Vigias (Peon)</t>
  </si>
  <si>
    <t>B</t>
  </si>
  <si>
    <t>FLOTA LIVIANA (Camionetas, VAN, Couster, Camiones de 4 ton)</t>
  </si>
  <si>
    <t>Veh-mes</t>
  </si>
  <si>
    <t>C</t>
  </si>
  <si>
    <t>EQUIPOS DE LABORATORIO, COMUNICACIÓN Y SISTEMAS</t>
  </si>
  <si>
    <t>Equipos de Laboratorio</t>
  </si>
  <si>
    <t>LABORATORIO de SUELOS (Equipado completamente)</t>
  </si>
  <si>
    <t>Mes</t>
  </si>
  <si>
    <t>Equipos de Topografía</t>
  </si>
  <si>
    <t>Equipos y Sotfware para sistema de comunicación</t>
  </si>
  <si>
    <t>RADIO Portátil</t>
  </si>
  <si>
    <t>Und</t>
  </si>
  <si>
    <t>Computadoras p/personal empleado (alquiler)</t>
  </si>
  <si>
    <t>Impresoras A4</t>
  </si>
  <si>
    <t>D</t>
  </si>
  <si>
    <t>GASTOS GENERALES VARIOS</t>
  </si>
  <si>
    <t>Consumibles</t>
  </si>
  <si>
    <t>ECONOMATO: Utiles de Oficinas</t>
  </si>
  <si>
    <t>TOPOGRAFÍA: Consumibles de Topografía</t>
  </si>
  <si>
    <t>Exámenes Médicos</t>
  </si>
  <si>
    <t>EMO - PRE-OCUPACIONAL</t>
  </si>
  <si>
    <t>EMO - POST-OCUPACIONAL</t>
  </si>
  <si>
    <t>Alojamiento, Alimentación, Lavandería &amp; Agua para consumo</t>
  </si>
  <si>
    <t>ALIMENTACIÓN de Personal de Dirección</t>
  </si>
  <si>
    <t>ALIMENTACIÓN de Personal de Apoyo</t>
  </si>
  <si>
    <t>AGUA : Cajas de 20L</t>
  </si>
  <si>
    <t>Transporte de Personal a Obra</t>
  </si>
  <si>
    <t>BAÑO QUÍMICOS : Inc. Limpieza 2 veces x semana</t>
  </si>
  <si>
    <t>Costos de la Mano de Obra de Construcción Civil (Obreros)</t>
  </si>
  <si>
    <t>S/</t>
  </si>
  <si>
    <t>Movilización interna en Obra (Desde paradero de recojo a Obra)</t>
  </si>
  <si>
    <t>Servicio de Alojamiento, Lavanderia y Limpieza</t>
  </si>
  <si>
    <t>Consumo de agua</t>
  </si>
  <si>
    <t>E</t>
  </si>
  <si>
    <r>
      <t>CARTA FIANZA de Adelanto en Efectivo</t>
    </r>
    <r>
      <rPr>
        <sz val="8"/>
        <color rgb="FFFF0000"/>
        <rFont val="Arial"/>
        <family val="2"/>
      </rPr>
      <t xml:space="preserve"> (15%)</t>
    </r>
  </si>
  <si>
    <t>FIANZA POR DEVOLUCION DEL 30%  DEL FONDO DE GARANTIA (5%)</t>
  </si>
  <si>
    <t>Impuesto a las transacciones bancarias (ITF)</t>
  </si>
  <si>
    <t>Seguro de responsabilidad civil</t>
  </si>
  <si>
    <t>Seguro de responsabilidad civil de vehículos, incluidos los vehículos propios, contratados, alquilados y/o de terceros</t>
  </si>
  <si>
    <t>Seguro de responsabilidad civil de equipos de construcción (maquinaria móvil y/o línea amarilla)</t>
  </si>
  <si>
    <t>póliza de Todo Riesgo de Equipo y/o Maquinaria de Contratista (TREC)</t>
  </si>
  <si>
    <t>Tasa de Contribución al Sencico</t>
  </si>
  <si>
    <t>COSTO TOTAL PARA EL ANÁLISIS DE LOS GASTOS GENERALES (A + B + C + D + E)</t>
  </si>
  <si>
    <t>***</t>
  </si>
  <si>
    <t>Incidencia</t>
  </si>
  <si>
    <t>Mon</t>
  </si>
  <si>
    <t>Parcial S/</t>
  </si>
  <si>
    <t>Costos varios de la Mano de Obra de Construcción Civil (Obreros)</t>
  </si>
  <si>
    <t>Costos Financieros</t>
  </si>
  <si>
    <t>**</t>
  </si>
  <si>
    <t>Sub-total GASTOS GENERALES S/</t>
  </si>
  <si>
    <t>Comentarios:</t>
  </si>
  <si>
    <t>Residencia de Proyecto</t>
  </si>
  <si>
    <t>CAMIONETA PICK UP Doble cabina 4x4 (incluye chofer + B5)</t>
  </si>
  <si>
    <t>CISTERNA de Combustible de 2500 galones (incluye chofer + B5)</t>
  </si>
  <si>
    <t>CARTA FIANZA de Fiel Cumplimiento (10%)</t>
  </si>
  <si>
    <r>
      <t xml:space="preserve">Residente de PROYECTO </t>
    </r>
    <r>
      <rPr>
        <sz val="8"/>
        <color rgb="FFFF0000"/>
        <rFont val="Arial"/>
        <family val="2"/>
      </rPr>
      <t>(PERSONAL CLAVE)</t>
    </r>
  </si>
  <si>
    <t>Responsable  de Recursos Humanos (RRHH)</t>
  </si>
  <si>
    <t>Responsable de Equipos</t>
  </si>
  <si>
    <t>DATOS GENERALES</t>
  </si>
  <si>
    <t>CLIENTE:</t>
  </si>
  <si>
    <t>PROYECTO:</t>
  </si>
  <si>
    <t>DEFENSAS RIBEREÑAS DEL RIO LACRAMARCA - PAQUETE R-07 - QDA PAMPA DEL TORO</t>
  </si>
  <si>
    <t>CONTRATO:</t>
  </si>
  <si>
    <t>EJECUCION DE OBRA</t>
  </si>
  <si>
    <t xml:space="preserve">PRESUPUESTO: </t>
  </si>
  <si>
    <t>Soles</t>
  </si>
  <si>
    <t>TIEMPO DE EJECUCION:</t>
  </si>
  <si>
    <t>Meses</t>
  </si>
  <si>
    <t>FECHA DE PRESENTACION DE OFERTTA:</t>
  </si>
  <si>
    <t>TIPO DE CAMBIO:</t>
  </si>
  <si>
    <t>Soles/dollar</t>
  </si>
  <si>
    <t>COSTO COMBUSTIBLE SIN IGV:</t>
  </si>
  <si>
    <t>GASTOS GENERALES Y UTILIDAD</t>
  </si>
  <si>
    <t>DETALLE DEL GASTO GENERAL</t>
  </si>
  <si>
    <t>6.3.6</t>
  </si>
  <si>
    <t>ET</t>
  </si>
  <si>
    <t>TDR</t>
  </si>
  <si>
    <t>Servicio de Alimentación de personal obrero/operadores</t>
  </si>
  <si>
    <t>Soles/gln</t>
  </si>
  <si>
    <t>OBRASCON HUARTE LAIN S.A. SUC. DEL 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</si>
</sst>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.00_ ;_ * \-#,##0.00_ ;_ * &quot;-&quot;??_ ;_ @_ "/>
    <numFmt numFmtId="165" formatCode="0.00000000%"/>
    <numFmt numFmtId="166" formatCode="0.000%"/>
    <numFmt numFmtId="167" formatCode="0.00000%"/>
    <numFmt numFmtId="168" formatCode="0.000000%"/>
    <numFmt numFmtId="169" formatCode="0.0000000"/>
    <numFmt numFmtId="170" formatCode="_(* #,##0.00_);_(* \(#,##0.00\);_(* &quot;-&quot;??_);_(@_)"/>
    <numFmt numFmtId="171" formatCode="_(* #,##0_);_(* \(#,##0\);_(* &quot;-&quot;_);_(@_)"/>
    <numFmt numFmtId="172" formatCode="_-[$$-540A]* #,##0.00_ ;_-[$$-540A]* \-#,##0.00\ ;_-[$$-540A]* &quot;-&quot;??_ ;_-@_ "/>
    <numFmt numFmtId="173" formatCode="00.00"/>
    <numFmt numFmtId="174" formatCode="m\.dd\.yy;@"/>
    <numFmt numFmtId="175" formatCode="0.0000000%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u/>
      <sz val="14"/>
      <color rgb="FF000000"/>
      <name val="Arial"/>
      <family val="2"/>
    </font>
    <font>
      <sz val="11"/>
      <color rgb="FFFF0000"/>
      <name val="Arial"/>
      <family val="2"/>
    </font>
    <font>
      <b/>
      <u/>
      <sz val="12"/>
      <name val="Arial"/>
      <family val="2"/>
    </font>
    <font>
      <sz val="11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sz val="36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8"/>
      <color rgb="FFFF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4"/>
      <name val="Arial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0"/>
      <color theme="9" tint="-0.249977111117893"/>
      <name val="Arial Narrow"/>
      <family val="2"/>
    </font>
    <font>
      <b/>
      <sz val="10"/>
      <color rgb="FFC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FC0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 style="medium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indexed="64"/>
      </top>
      <bottom style="medium">
        <color indexed="64"/>
      </bottom>
      <diagonal/>
    </border>
    <border>
      <left style="thin">
        <color theme="4" tint="0.3999450666829432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indexed="64"/>
      </left>
      <right style="thin">
        <color theme="4" tint="0.39994506668294322"/>
      </right>
      <top/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indexed="64"/>
      </bottom>
      <diagonal/>
    </border>
    <border>
      <left style="thin">
        <color theme="4" tint="0.399945066682943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indexed="64"/>
      </top>
      <bottom style="thin">
        <color indexed="64"/>
      </bottom>
      <diagonal/>
    </border>
    <border>
      <left style="thin">
        <color theme="4" tint="0.399945066682943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4" tint="0.39994506668294322"/>
      </right>
      <top/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4" tint="0.399945066682943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4" tint="0.39994506668294322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</cellStyleXfs>
  <cellXfs count="373">
    <xf numFmtId="0" fontId="0" fillId="0" borderId="0" xfId="0"/>
    <xf numFmtId="0" fontId="4" fillId="0" borderId="0" xfId="3" applyFont="1"/>
    <xf numFmtId="4" fontId="4" fillId="0" borderId="0" xfId="3" applyNumberFormat="1" applyFont="1"/>
    <xf numFmtId="0" fontId="5" fillId="0" borderId="1" xfId="3" applyFont="1" applyBorder="1" applyAlignment="1">
      <alignment horizontal="right" indent="1"/>
    </xf>
    <xf numFmtId="0" fontId="5" fillId="0" borderId="0" xfId="3" applyFont="1"/>
    <xf numFmtId="0" fontId="5" fillId="0" borderId="2" xfId="3" applyFont="1" applyBorder="1"/>
    <xf numFmtId="0" fontId="5" fillId="0" borderId="10" xfId="3" applyFont="1" applyBorder="1" applyAlignment="1">
      <alignment horizontal="center"/>
    </xf>
    <xf numFmtId="10" fontId="5" fillId="0" borderId="3" xfId="3" applyNumberFormat="1" applyFont="1" applyBorder="1" applyAlignment="1">
      <alignment horizontal="center"/>
    </xf>
    <xf numFmtId="0" fontId="6" fillId="0" borderId="0" xfId="3" applyFont="1"/>
    <xf numFmtId="4" fontId="5" fillId="0" borderId="0" xfId="3" applyNumberFormat="1" applyFont="1" applyAlignment="1">
      <alignment horizontal="center"/>
    </xf>
    <xf numFmtId="0" fontId="6" fillId="0" borderId="6" xfId="3" applyFont="1" applyBorder="1" applyAlignment="1">
      <alignment horizontal="right" indent="1"/>
    </xf>
    <xf numFmtId="0" fontId="6" fillId="0" borderId="7" xfId="3" applyFont="1" applyBorder="1"/>
    <xf numFmtId="0" fontId="6" fillId="0" borderId="14" xfId="3" applyFont="1" applyBorder="1" applyAlignment="1">
      <alignment horizontal="center"/>
    </xf>
    <xf numFmtId="165" fontId="6" fillId="0" borderId="8" xfId="3" applyNumberFormat="1" applyFont="1" applyBorder="1" applyAlignment="1">
      <alignment horizontal="center"/>
    </xf>
    <xf numFmtId="0" fontId="7" fillId="0" borderId="0" xfId="3" applyFont="1"/>
    <xf numFmtId="4" fontId="7" fillId="0" borderId="0" xfId="3" applyNumberFormat="1" applyFont="1"/>
    <xf numFmtId="4" fontId="5" fillId="2" borderId="12" xfId="3" applyNumberFormat="1" applyFont="1" applyFill="1" applyBorder="1" applyAlignment="1">
      <alignment horizontal="right" indent="1"/>
    </xf>
    <xf numFmtId="0" fontId="6" fillId="0" borderId="14" xfId="3" applyFont="1" applyBorder="1" applyAlignment="1">
      <alignment horizontal="right" indent="1"/>
    </xf>
    <xf numFmtId="169" fontId="6" fillId="0" borderId="0" xfId="3" applyNumberFormat="1" applyFont="1"/>
    <xf numFmtId="0" fontId="5" fillId="0" borderId="10" xfId="3" applyFont="1" applyBorder="1" applyAlignment="1">
      <alignment horizontal="right" indent="1"/>
    </xf>
    <xf numFmtId="0" fontId="6" fillId="0" borderId="6" xfId="3" applyFont="1" applyBorder="1"/>
    <xf numFmtId="0" fontId="3" fillId="0" borderId="6" xfId="5" applyBorder="1"/>
    <xf numFmtId="0" fontId="3" fillId="0" borderId="7" xfId="5" applyBorder="1"/>
    <xf numFmtId="0" fontId="3" fillId="0" borderId="14" xfId="5" applyBorder="1" applyAlignment="1">
      <alignment horizontal="right" indent="1"/>
    </xf>
    <xf numFmtId="0" fontId="3" fillId="0" borderId="8" xfId="5" applyBorder="1"/>
    <xf numFmtId="0" fontId="3" fillId="0" borderId="0" xfId="5"/>
    <xf numFmtId="0" fontId="6" fillId="0" borderId="14" xfId="3" applyFont="1" applyBorder="1"/>
    <xf numFmtId="0" fontId="7" fillId="0" borderId="0" xfId="3" applyFont="1" applyAlignment="1">
      <alignment horizontal="right" indent="1"/>
    </xf>
    <xf numFmtId="0" fontId="7" fillId="0" borderId="2" xfId="3" applyFont="1" applyBorder="1" applyAlignment="1">
      <alignment horizontal="center"/>
    </xf>
    <xf numFmtId="0" fontId="5" fillId="2" borderId="4" xfId="3" applyFont="1" applyFill="1" applyBorder="1" applyAlignment="1">
      <alignment horizontal="right" indent="1"/>
    </xf>
    <xf numFmtId="0" fontId="5" fillId="2" borderId="15" xfId="3" applyFont="1" applyFill="1" applyBorder="1"/>
    <xf numFmtId="4" fontId="5" fillId="2" borderId="9" xfId="3" applyNumberFormat="1" applyFont="1" applyFill="1" applyBorder="1" applyAlignment="1">
      <alignment horizontal="right" indent="1"/>
    </xf>
    <xf numFmtId="164" fontId="6" fillId="0" borderId="0" xfId="1" applyFont="1"/>
    <xf numFmtId="167" fontId="6" fillId="0" borderId="8" xfId="3" applyNumberFormat="1" applyFont="1" applyBorder="1" applyAlignment="1">
      <alignment horizontal="right"/>
    </xf>
    <xf numFmtId="167" fontId="6" fillId="0" borderId="0" xfId="2" applyNumberFormat="1" applyFont="1"/>
    <xf numFmtId="165" fontId="6" fillId="0" borderId="0" xfId="2" applyNumberFormat="1" applyFont="1"/>
    <xf numFmtId="4" fontId="6" fillId="0" borderId="0" xfId="3" applyNumberFormat="1" applyFont="1"/>
    <xf numFmtId="166" fontId="7" fillId="0" borderId="0" xfId="2" applyNumberFormat="1" applyFont="1"/>
    <xf numFmtId="0" fontId="6" fillId="2" borderId="15" xfId="3" applyFont="1" applyFill="1" applyBorder="1"/>
    <xf numFmtId="10" fontId="5" fillId="2" borderId="5" xfId="3" applyNumberFormat="1" applyFont="1" applyFill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3" fillId="0" borderId="0" xfId="5" applyAlignment="1">
      <alignment vertical="top"/>
    </xf>
    <xf numFmtId="0" fontId="5" fillId="2" borderId="9" xfId="3" applyFont="1" applyFill="1" applyBorder="1" applyAlignment="1">
      <alignment horizontal="center"/>
    </xf>
    <xf numFmtId="0" fontId="5" fillId="2" borderId="8" xfId="3" applyFont="1" applyFill="1" applyBorder="1" applyAlignment="1">
      <alignment horizontal="center"/>
    </xf>
    <xf numFmtId="0" fontId="6" fillId="0" borderId="11" xfId="3" applyFont="1" applyBorder="1" applyAlignment="1">
      <alignment horizontal="right" indent="1"/>
    </xf>
    <xf numFmtId="0" fontId="6" fillId="0" borderId="12" xfId="3" applyFont="1" applyBorder="1" applyAlignment="1">
      <alignment horizontal="center"/>
    </xf>
    <xf numFmtId="0" fontId="6" fillId="0" borderId="13" xfId="3" applyFont="1" applyBorder="1" applyAlignment="1">
      <alignment horizontal="center"/>
    </xf>
    <xf numFmtId="0" fontId="5" fillId="0" borderId="11" xfId="3" applyFont="1" applyBorder="1" applyAlignment="1">
      <alignment horizontal="right" indent="1"/>
    </xf>
    <xf numFmtId="0" fontId="16" fillId="0" borderId="0" xfId="3" applyFont="1"/>
    <xf numFmtId="166" fontId="6" fillId="0" borderId="13" xfId="3" applyNumberFormat="1" applyFont="1" applyBorder="1" applyAlignment="1">
      <alignment horizontal="center"/>
    </xf>
    <xf numFmtId="4" fontId="6" fillId="0" borderId="12" xfId="3" applyNumberFormat="1" applyFont="1" applyBorder="1" applyAlignment="1">
      <alignment horizontal="center"/>
    </xf>
    <xf numFmtId="168" fontId="6" fillId="0" borderId="13" xfId="3" applyNumberFormat="1" applyFont="1" applyBorder="1" applyAlignment="1">
      <alignment horizontal="right"/>
    </xf>
    <xf numFmtId="167" fontId="6" fillId="0" borderId="13" xfId="3" applyNumberFormat="1" applyFont="1" applyBorder="1" applyAlignment="1">
      <alignment horizontal="right"/>
    </xf>
    <xf numFmtId="0" fontId="6" fillId="0" borderId="12" xfId="3" applyFont="1" applyBorder="1" applyAlignment="1">
      <alignment horizontal="right" indent="1"/>
    </xf>
    <xf numFmtId="10" fontId="6" fillId="0" borderId="0" xfId="3" applyNumberFormat="1" applyFont="1"/>
    <xf numFmtId="4" fontId="6" fillId="0" borderId="12" xfId="3" applyNumberFormat="1" applyFont="1" applyBorder="1" applyAlignment="1">
      <alignment horizontal="right" indent="1"/>
    </xf>
    <xf numFmtId="10" fontId="6" fillId="0" borderId="13" xfId="3" applyNumberFormat="1" applyFont="1" applyBorder="1" applyAlignment="1">
      <alignment horizontal="center"/>
    </xf>
    <xf numFmtId="4" fontId="5" fillId="2" borderId="9" xfId="3" applyNumberFormat="1" applyFont="1" applyFill="1" applyBorder="1" applyAlignment="1">
      <alignment horizontal="center" wrapText="1"/>
    </xf>
    <xf numFmtId="10" fontId="15" fillId="0" borderId="17" xfId="2" applyNumberFormat="1" applyFont="1" applyBorder="1"/>
    <xf numFmtId="10" fontId="17" fillId="0" borderId="0" xfId="2" applyNumberFormat="1" applyFont="1"/>
    <xf numFmtId="0" fontId="0" fillId="0" borderId="0" xfId="0" applyAlignment="1">
      <alignment horizontal="center"/>
    </xf>
    <xf numFmtId="164" fontId="19" fillId="0" borderId="0" xfId="1" applyFont="1"/>
    <xf numFmtId="0" fontId="18" fillId="0" borderId="0" xfId="0" applyFont="1"/>
    <xf numFmtId="2" fontId="0" fillId="0" borderId="0" xfId="0" applyNumberFormat="1"/>
    <xf numFmtId="10" fontId="6" fillId="0" borderId="13" xfId="3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166" fontId="5" fillId="2" borderId="13" xfId="4" applyNumberFormat="1" applyFont="1" applyFill="1" applyBorder="1" applyAlignment="1">
      <alignment horizontal="right"/>
    </xf>
    <xf numFmtId="166" fontId="5" fillId="0" borderId="3" xfId="3" applyNumberFormat="1" applyFont="1" applyBorder="1" applyAlignment="1">
      <alignment horizontal="right"/>
    </xf>
    <xf numFmtId="4" fontId="5" fillId="0" borderId="10" xfId="3" applyNumberFormat="1" applyFont="1" applyBorder="1" applyAlignment="1">
      <alignment horizontal="left" vertical="center"/>
    </xf>
    <xf numFmtId="166" fontId="5" fillId="2" borderId="9" xfId="4" applyNumberFormat="1" applyFont="1" applyFill="1" applyBorder="1" applyAlignment="1">
      <alignment horizontal="right"/>
    </xf>
    <xf numFmtId="0" fontId="2" fillId="0" borderId="0" xfId="11" applyFont="1"/>
    <xf numFmtId="43" fontId="2" fillId="0" borderId="0" xfId="11" applyNumberFormat="1" applyFont="1"/>
    <xf numFmtId="0" fontId="2" fillId="0" borderId="0" xfId="11" applyFont="1" applyAlignment="1">
      <alignment horizontal="right"/>
    </xf>
    <xf numFmtId="43" fontId="18" fillId="0" borderId="0" xfId="11" applyNumberFormat="1" applyFont="1"/>
    <xf numFmtId="172" fontId="18" fillId="0" borderId="0" xfId="11" applyNumberFormat="1" applyFont="1"/>
    <xf numFmtId="0" fontId="22" fillId="0" borderId="19" xfId="0" applyFont="1" applyBorder="1" applyAlignment="1">
      <alignment horizontal="center"/>
    </xf>
    <xf numFmtId="15" fontId="10" fillId="0" borderId="19" xfId="0" applyNumberFormat="1" applyFont="1" applyBorder="1" applyAlignment="1">
      <alignment horizontal="center"/>
    </xf>
    <xf numFmtId="0" fontId="23" fillId="3" borderId="18" xfId="0" applyFont="1" applyFill="1" applyBorder="1" applyAlignment="1">
      <alignment horizontal="center" vertical="top" wrapText="1"/>
    </xf>
    <xf numFmtId="0" fontId="25" fillId="3" borderId="20" xfId="0" applyFont="1" applyFill="1" applyBorder="1" applyAlignment="1">
      <alignment horizontal="center" vertical="top" wrapText="1"/>
    </xf>
    <xf numFmtId="15" fontId="3" fillId="0" borderId="0" xfId="5" applyNumberFormat="1"/>
    <xf numFmtId="0" fontId="3" fillId="0" borderId="0" xfId="5" applyAlignment="1">
      <alignment horizontal="right"/>
    </xf>
    <xf numFmtId="0" fontId="14" fillId="0" borderId="0" xfId="0" applyFont="1" applyAlignment="1">
      <alignment horizontal="center" vertical="top"/>
    </xf>
    <xf numFmtId="0" fontId="27" fillId="0" borderId="0" xfId="0" applyFont="1" applyAlignment="1">
      <alignment vertical="center"/>
    </xf>
    <xf numFmtId="0" fontId="28" fillId="5" borderId="23" xfId="0" applyFont="1" applyFill="1" applyBorder="1" applyAlignment="1">
      <alignment horizontal="centerContinuous" vertical="center"/>
    </xf>
    <xf numFmtId="0" fontId="28" fillId="5" borderId="24" xfId="0" applyFont="1" applyFill="1" applyBorder="1" applyAlignment="1">
      <alignment horizontal="centerContinuous" vertical="center"/>
    </xf>
    <xf numFmtId="0" fontId="28" fillId="5" borderId="25" xfId="0" applyFont="1" applyFill="1" applyBorder="1" applyAlignment="1">
      <alignment horizontal="centerContinuous" vertical="center"/>
    </xf>
    <xf numFmtId="0" fontId="28" fillId="5" borderId="26" xfId="0" applyFont="1" applyFill="1" applyBorder="1" applyAlignment="1">
      <alignment horizontal="centerContinuous" vertical="center"/>
    </xf>
    <xf numFmtId="0" fontId="28" fillId="5" borderId="28" xfId="0" applyFont="1" applyFill="1" applyBorder="1" applyAlignment="1">
      <alignment vertical="center"/>
    </xf>
    <xf numFmtId="0" fontId="28" fillId="5" borderId="29" xfId="0" applyFont="1" applyFill="1" applyBorder="1" applyAlignment="1">
      <alignment vertical="center"/>
    </xf>
    <xf numFmtId="0" fontId="28" fillId="5" borderId="30" xfId="0" applyFont="1" applyFill="1" applyBorder="1" applyAlignment="1">
      <alignment horizontal="center" vertical="center"/>
    </xf>
    <xf numFmtId="0" fontId="28" fillId="5" borderId="31" xfId="0" applyFont="1" applyFill="1" applyBorder="1" applyAlignment="1">
      <alignment horizontal="center" vertical="center"/>
    </xf>
    <xf numFmtId="0" fontId="28" fillId="5" borderId="32" xfId="0" applyFont="1" applyFill="1" applyBorder="1" applyAlignment="1">
      <alignment horizontal="center" vertical="center"/>
    </xf>
    <xf numFmtId="0" fontId="28" fillId="5" borderId="33" xfId="0" applyFont="1" applyFill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0" fontId="28" fillId="5" borderId="35" xfId="0" applyFont="1" applyFill="1" applyBorder="1" applyAlignment="1">
      <alignment horizontal="center" vertical="center" wrapText="1"/>
    </xf>
    <xf numFmtId="0" fontId="29" fillId="6" borderId="14" xfId="0" applyFont="1" applyFill="1" applyBorder="1" applyAlignment="1">
      <alignment horizontal="left" vertical="center" indent="1"/>
    </xf>
    <xf numFmtId="0" fontId="29" fillId="6" borderId="7" xfId="0" applyFont="1" applyFill="1" applyBorder="1" applyAlignment="1">
      <alignment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vertical="center"/>
    </xf>
    <xf numFmtId="0" fontId="29" fillId="6" borderId="38" xfId="0" applyFont="1" applyFill="1" applyBorder="1" applyAlignment="1">
      <alignment vertical="center"/>
    </xf>
    <xf numFmtId="43" fontId="29" fillId="6" borderId="14" xfId="0" applyNumberFormat="1" applyFont="1" applyFill="1" applyBorder="1" applyAlignment="1">
      <alignment vertical="center"/>
    </xf>
    <xf numFmtId="0" fontId="29" fillId="6" borderId="39" xfId="0" applyFont="1" applyFill="1" applyBorder="1" applyAlignment="1">
      <alignment vertical="center"/>
    </xf>
    <xf numFmtId="0" fontId="29" fillId="6" borderId="40" xfId="0" applyFont="1" applyFill="1" applyBorder="1" applyAlignment="1">
      <alignment vertical="center"/>
    </xf>
    <xf numFmtId="0" fontId="29" fillId="6" borderId="41" xfId="0" applyFont="1" applyFill="1" applyBorder="1" applyAlignment="1">
      <alignment vertical="center"/>
    </xf>
    <xf numFmtId="43" fontId="29" fillId="6" borderId="41" xfId="0" applyNumberFormat="1" applyFont="1" applyFill="1" applyBorder="1" applyAlignment="1">
      <alignment vertical="center"/>
    </xf>
    <xf numFmtId="0" fontId="29" fillId="7" borderId="9" xfId="0" applyFont="1" applyFill="1" applyBorder="1" applyAlignment="1">
      <alignment horizontal="left" vertical="center" indent="1"/>
    </xf>
    <xf numFmtId="0" fontId="29" fillId="7" borderId="15" xfId="0" applyFont="1" applyFill="1" applyBorder="1" applyAlignment="1">
      <alignment vertical="center"/>
    </xf>
    <xf numFmtId="0" fontId="29" fillId="7" borderId="42" xfId="0" applyFont="1" applyFill="1" applyBorder="1" applyAlignment="1">
      <alignment horizontal="center" vertical="center"/>
    </xf>
    <xf numFmtId="0" fontId="29" fillId="7" borderId="42" xfId="0" applyFont="1" applyFill="1" applyBorder="1" applyAlignment="1">
      <alignment vertical="center"/>
    </xf>
    <xf numFmtId="0" fontId="29" fillId="7" borderId="43" xfId="0" applyFont="1" applyFill="1" applyBorder="1" applyAlignment="1">
      <alignment vertical="center"/>
    </xf>
    <xf numFmtId="43" fontId="29" fillId="7" borderId="9" xfId="0" applyNumberFormat="1" applyFont="1" applyFill="1" applyBorder="1" applyAlignment="1">
      <alignment vertical="center"/>
    </xf>
    <xf numFmtId="0" fontId="29" fillId="7" borderId="44" xfId="0" applyFont="1" applyFill="1" applyBorder="1" applyAlignment="1">
      <alignment vertical="center"/>
    </xf>
    <xf numFmtId="0" fontId="29" fillId="7" borderId="45" xfId="0" applyFont="1" applyFill="1" applyBorder="1" applyAlignment="1">
      <alignment vertical="center"/>
    </xf>
    <xf numFmtId="0" fontId="29" fillId="7" borderId="46" xfId="0" applyFont="1" applyFill="1" applyBorder="1" applyAlignment="1">
      <alignment vertical="center"/>
    </xf>
    <xf numFmtId="43" fontId="29" fillId="7" borderId="46" xfId="0" applyNumberFormat="1" applyFont="1" applyFill="1" applyBorder="1" applyAlignment="1">
      <alignment vertical="center"/>
    </xf>
    <xf numFmtId="0" fontId="29" fillId="0" borderId="47" xfId="0" applyFont="1" applyBorder="1" applyAlignment="1">
      <alignment horizontal="left" vertical="center" indent="1"/>
    </xf>
    <xf numFmtId="0" fontId="29" fillId="0" borderId="48" xfId="0" applyFont="1" applyBorder="1" applyAlignment="1">
      <alignment vertical="center"/>
    </xf>
    <xf numFmtId="0" fontId="27" fillId="0" borderId="49" xfId="0" applyFont="1" applyBorder="1" applyAlignment="1">
      <alignment horizontal="center" vertical="center"/>
    </xf>
    <xf numFmtId="0" fontId="27" fillId="0" borderId="49" xfId="0" applyFont="1" applyBorder="1" applyAlignment="1">
      <alignment vertical="center"/>
    </xf>
    <xf numFmtId="0" fontId="27" fillId="0" borderId="50" xfId="0" applyFont="1" applyBorder="1" applyAlignment="1">
      <alignment vertical="center"/>
    </xf>
    <xf numFmtId="43" fontId="27" fillId="0" borderId="47" xfId="0" applyNumberFormat="1" applyFont="1" applyBorder="1" applyAlignment="1">
      <alignment vertical="center"/>
    </xf>
    <xf numFmtId="0" fontId="27" fillId="0" borderId="51" xfId="0" applyFont="1" applyBorder="1" applyAlignment="1">
      <alignment vertical="center"/>
    </xf>
    <xf numFmtId="0" fontId="27" fillId="0" borderId="52" xfId="0" applyFont="1" applyBorder="1" applyAlignment="1">
      <alignment vertical="center"/>
    </xf>
    <xf numFmtId="0" fontId="27" fillId="0" borderId="53" xfId="0" applyFont="1" applyBorder="1" applyAlignment="1">
      <alignment vertical="center"/>
    </xf>
    <xf numFmtId="43" fontId="29" fillId="0" borderId="53" xfId="0" applyNumberFormat="1" applyFont="1" applyBorder="1" applyAlignment="1">
      <alignment vertical="center"/>
    </xf>
    <xf numFmtId="0" fontId="27" fillId="0" borderId="54" xfId="0" applyFont="1" applyBorder="1" applyAlignment="1">
      <alignment horizontal="left" vertical="center" indent="1"/>
    </xf>
    <xf numFmtId="0" fontId="27" fillId="0" borderId="55" xfId="0" applyFont="1" applyBorder="1" applyAlignment="1">
      <alignment vertical="center"/>
    </xf>
    <xf numFmtId="0" fontId="27" fillId="0" borderId="56" xfId="0" applyFont="1" applyBorder="1" applyAlignment="1">
      <alignment horizontal="center" vertical="center"/>
    </xf>
    <xf numFmtId="0" fontId="27" fillId="0" borderId="56" xfId="0" applyFont="1" applyBorder="1" applyAlignment="1">
      <alignment vertical="center"/>
    </xf>
    <xf numFmtId="0" fontId="27" fillId="0" borderId="57" xfId="0" applyFont="1" applyBorder="1" applyAlignment="1">
      <alignment vertical="center"/>
    </xf>
    <xf numFmtId="43" fontId="27" fillId="0" borderId="54" xfId="0" applyNumberFormat="1" applyFont="1" applyBorder="1" applyAlignment="1">
      <alignment vertical="center"/>
    </xf>
    <xf numFmtId="0" fontId="27" fillId="0" borderId="58" xfId="0" applyFont="1" applyBorder="1" applyAlignment="1">
      <alignment vertical="center"/>
    </xf>
    <xf numFmtId="0" fontId="27" fillId="0" borderId="59" xfId="0" applyFont="1" applyBorder="1" applyAlignment="1">
      <alignment vertical="center"/>
    </xf>
    <xf numFmtId="0" fontId="27" fillId="0" borderId="60" xfId="0" applyFont="1" applyBorder="1" applyAlignment="1">
      <alignment vertical="center"/>
    </xf>
    <xf numFmtId="43" fontId="27" fillId="0" borderId="60" xfId="0" applyNumberFormat="1" applyFont="1" applyBorder="1" applyAlignment="1">
      <alignment vertical="center"/>
    </xf>
    <xf numFmtId="0" fontId="27" fillId="0" borderId="62" xfId="0" applyFont="1" applyBorder="1" applyAlignment="1">
      <alignment vertical="center"/>
    </xf>
    <xf numFmtId="0" fontId="27" fillId="0" borderId="63" xfId="0" applyFont="1" applyBorder="1" applyAlignment="1">
      <alignment horizontal="center" vertical="center"/>
    </xf>
    <xf numFmtId="0" fontId="27" fillId="0" borderId="63" xfId="0" applyFont="1" applyBorder="1" applyAlignment="1">
      <alignment vertical="center"/>
    </xf>
    <xf numFmtId="0" fontId="27" fillId="0" borderId="64" xfId="0" applyFont="1" applyBorder="1" applyAlignment="1">
      <alignment vertical="center"/>
    </xf>
    <xf numFmtId="43" fontId="27" fillId="0" borderId="61" xfId="0" applyNumberFormat="1" applyFont="1" applyBorder="1" applyAlignment="1">
      <alignment vertical="center"/>
    </xf>
    <xf numFmtId="0" fontId="29" fillId="0" borderId="65" xfId="0" applyFont="1" applyBorder="1" applyAlignment="1">
      <alignment horizontal="left" vertical="center" indent="1"/>
    </xf>
    <xf numFmtId="0" fontId="29" fillId="0" borderId="66" xfId="0" applyFont="1" applyBorder="1" applyAlignment="1">
      <alignment vertical="center"/>
    </xf>
    <xf numFmtId="0" fontId="27" fillId="0" borderId="66" xfId="0" applyFont="1" applyBorder="1" applyAlignment="1">
      <alignment vertical="center"/>
    </xf>
    <xf numFmtId="0" fontId="27" fillId="0" borderId="67" xfId="0" applyFont="1" applyBorder="1" applyAlignment="1">
      <alignment horizontal="center" vertical="center"/>
    </xf>
    <xf numFmtId="0" fontId="27" fillId="0" borderId="67" xfId="0" applyFont="1" applyBorder="1" applyAlignment="1">
      <alignment vertical="center"/>
    </xf>
    <xf numFmtId="0" fontId="27" fillId="0" borderId="68" xfId="0" applyFont="1" applyBorder="1" applyAlignment="1">
      <alignment vertical="center"/>
    </xf>
    <xf numFmtId="43" fontId="27" fillId="0" borderId="65" xfId="0" applyNumberFormat="1" applyFont="1" applyBorder="1" applyAlignment="1">
      <alignment vertical="center"/>
    </xf>
    <xf numFmtId="0" fontId="27" fillId="0" borderId="69" xfId="0" applyFont="1" applyBorder="1" applyAlignment="1">
      <alignment vertical="center"/>
    </xf>
    <xf numFmtId="0" fontId="27" fillId="0" borderId="70" xfId="0" applyFont="1" applyBorder="1" applyAlignment="1">
      <alignment vertical="center"/>
    </xf>
    <xf numFmtId="0" fontId="27" fillId="0" borderId="71" xfId="0" applyFont="1" applyBorder="1" applyAlignment="1">
      <alignment vertical="center"/>
    </xf>
    <xf numFmtId="43" fontId="29" fillId="0" borderId="71" xfId="0" applyNumberFormat="1" applyFont="1" applyBorder="1" applyAlignment="1">
      <alignment vertical="center"/>
    </xf>
    <xf numFmtId="0" fontId="9" fillId="0" borderId="54" xfId="0" applyFont="1" applyBorder="1" applyAlignment="1">
      <alignment horizontal="left" vertical="center" indent="1"/>
    </xf>
    <xf numFmtId="0" fontId="9" fillId="0" borderId="55" xfId="0" applyFont="1" applyBorder="1" applyAlignment="1">
      <alignment vertical="center"/>
    </xf>
    <xf numFmtId="0" fontId="9" fillId="0" borderId="56" xfId="0" applyFont="1" applyBorder="1" applyAlignment="1">
      <alignment horizontal="center" vertical="center"/>
    </xf>
    <xf numFmtId="0" fontId="9" fillId="0" borderId="73" xfId="0" applyFont="1" applyBorder="1" applyAlignment="1">
      <alignment horizontal="left" vertical="center" indent="1"/>
    </xf>
    <xf numFmtId="0" fontId="9" fillId="0" borderId="72" xfId="0" applyFont="1" applyBorder="1" applyAlignment="1">
      <alignment vertical="center"/>
    </xf>
    <xf numFmtId="0" fontId="29" fillId="6" borderId="9" xfId="0" applyFont="1" applyFill="1" applyBorder="1" applyAlignment="1">
      <alignment horizontal="left" vertical="center" indent="1"/>
    </xf>
    <xf numFmtId="0" fontId="29" fillId="6" borderId="15" xfId="0" applyFont="1" applyFill="1" applyBorder="1" applyAlignment="1">
      <alignment vertical="center"/>
    </xf>
    <xf numFmtId="0" fontId="29" fillId="6" borderId="42" xfId="0" applyFont="1" applyFill="1" applyBorder="1" applyAlignment="1">
      <alignment horizontal="center" vertical="center"/>
    </xf>
    <xf numFmtId="0" fontId="29" fillId="6" borderId="42" xfId="0" applyFont="1" applyFill="1" applyBorder="1" applyAlignment="1">
      <alignment vertical="center"/>
    </xf>
    <xf numFmtId="0" fontId="29" fillId="6" borderId="43" xfId="0" applyFont="1" applyFill="1" applyBorder="1" applyAlignment="1">
      <alignment vertical="center"/>
    </xf>
    <xf numFmtId="43" fontId="29" fillId="6" borderId="9" xfId="0" applyNumberFormat="1" applyFont="1" applyFill="1" applyBorder="1" applyAlignment="1">
      <alignment vertical="center"/>
    </xf>
    <xf numFmtId="0" fontId="29" fillId="6" borderId="44" xfId="0" applyFont="1" applyFill="1" applyBorder="1" applyAlignment="1">
      <alignment vertical="center"/>
    </xf>
    <xf numFmtId="0" fontId="29" fillId="6" borderId="45" xfId="0" applyFont="1" applyFill="1" applyBorder="1" applyAlignment="1">
      <alignment vertical="center"/>
    </xf>
    <xf numFmtId="0" fontId="29" fillId="6" borderId="46" xfId="0" applyFont="1" applyFill="1" applyBorder="1" applyAlignment="1">
      <alignment vertical="center"/>
    </xf>
    <xf numFmtId="43" fontId="29" fillId="6" borderId="46" xfId="0" applyNumberFormat="1" applyFont="1" applyFill="1" applyBorder="1" applyAlignment="1">
      <alignment vertical="center"/>
    </xf>
    <xf numFmtId="0" fontId="27" fillId="4" borderId="58" xfId="0" applyFont="1" applyFill="1" applyBorder="1" applyAlignment="1">
      <alignment vertical="center"/>
    </xf>
    <xf numFmtId="0" fontId="27" fillId="4" borderId="59" xfId="0" applyFont="1" applyFill="1" applyBorder="1" applyAlignment="1">
      <alignment vertical="center"/>
    </xf>
    <xf numFmtId="0" fontId="29" fillId="0" borderId="74" xfId="0" applyFont="1" applyBorder="1" applyAlignment="1">
      <alignment vertical="center"/>
    </xf>
    <xf numFmtId="43" fontId="29" fillId="0" borderId="60" xfId="0" applyNumberFormat="1" applyFont="1" applyBorder="1" applyAlignment="1">
      <alignment vertical="center"/>
    </xf>
    <xf numFmtId="0" fontId="29" fillId="0" borderId="54" xfId="0" applyFont="1" applyBorder="1" applyAlignment="1">
      <alignment horizontal="left" vertical="center" indent="1"/>
    </xf>
    <xf numFmtId="0" fontId="29" fillId="0" borderId="55" xfId="0" applyFont="1" applyBorder="1" applyAlignment="1">
      <alignment vertical="center"/>
    </xf>
    <xf numFmtId="2" fontId="27" fillId="4" borderId="58" xfId="0" applyNumberFormat="1" applyFont="1" applyFill="1" applyBorder="1" applyAlignment="1">
      <alignment vertical="center"/>
    </xf>
    <xf numFmtId="0" fontId="27" fillId="0" borderId="75" xfId="0" applyFont="1" applyBorder="1" applyAlignment="1">
      <alignment horizontal="center" vertical="center"/>
    </xf>
    <xf numFmtId="0" fontId="27" fillId="0" borderId="76" xfId="0" applyFont="1" applyBorder="1" applyAlignment="1">
      <alignment vertical="center"/>
    </xf>
    <xf numFmtId="2" fontId="27" fillId="0" borderId="60" xfId="0" applyNumberFormat="1" applyFont="1" applyBorder="1" applyAlignment="1">
      <alignment vertical="center"/>
    </xf>
    <xf numFmtId="43" fontId="27" fillId="0" borderId="12" xfId="0" applyNumberFormat="1" applyFont="1" applyBorder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2" fontId="27" fillId="4" borderId="1" xfId="0" applyNumberFormat="1" applyFont="1" applyFill="1" applyBorder="1" applyAlignment="1">
      <alignment vertical="center"/>
    </xf>
    <xf numFmtId="0" fontId="27" fillId="4" borderId="10" xfId="0" applyFont="1" applyFill="1" applyBorder="1" applyAlignment="1">
      <alignment vertical="center"/>
    </xf>
    <xf numFmtId="43" fontId="27" fillId="0" borderId="10" xfId="0" applyNumberFormat="1" applyFont="1" applyBorder="1" applyAlignment="1">
      <alignment vertical="center"/>
    </xf>
    <xf numFmtId="43" fontId="27" fillId="4" borderId="10" xfId="0" applyNumberFormat="1" applyFont="1" applyFill="1" applyBorder="1" applyAlignment="1">
      <alignment vertical="center"/>
    </xf>
    <xf numFmtId="0" fontId="27" fillId="0" borderId="47" xfId="0" applyFont="1" applyBorder="1" applyAlignment="1">
      <alignment horizontal="center" vertical="center"/>
    </xf>
    <xf numFmtId="2" fontId="27" fillId="0" borderId="54" xfId="0" applyNumberFormat="1" applyFont="1" applyBorder="1" applyAlignment="1">
      <alignment vertical="center"/>
    </xf>
    <xf numFmtId="2" fontId="27" fillId="4" borderId="11" xfId="0" applyNumberFormat="1" applyFont="1" applyFill="1" applyBorder="1" applyAlignment="1">
      <alignment vertical="center"/>
    </xf>
    <xf numFmtId="0" fontId="27" fillId="4" borderId="12" xfId="0" applyFont="1" applyFill="1" applyBorder="1" applyAlignment="1">
      <alignment vertical="center"/>
    </xf>
    <xf numFmtId="43" fontId="27" fillId="4" borderId="12" xfId="0" applyNumberFormat="1" applyFont="1" applyFill="1" applyBorder="1" applyAlignment="1">
      <alignment vertical="center"/>
    </xf>
    <xf numFmtId="0" fontId="27" fillId="0" borderId="54" xfId="0" applyFont="1" applyBorder="1" applyAlignment="1">
      <alignment horizontal="center" vertical="center"/>
    </xf>
    <xf numFmtId="0" fontId="27" fillId="4" borderId="54" xfId="0" applyFont="1" applyFill="1" applyBorder="1" applyAlignment="1">
      <alignment horizontal="center" vertical="center"/>
    </xf>
    <xf numFmtId="43" fontId="27" fillId="0" borderId="77" xfId="0" applyNumberFormat="1" applyFont="1" applyBorder="1" applyAlignment="1">
      <alignment vertical="center"/>
    </xf>
    <xf numFmtId="43" fontId="27" fillId="4" borderId="77" xfId="0" applyNumberFormat="1" applyFont="1" applyFill="1" applyBorder="1" applyAlignment="1">
      <alignment vertical="center"/>
    </xf>
    <xf numFmtId="0" fontId="27" fillId="4" borderId="47" xfId="0" applyFont="1" applyFill="1" applyBorder="1" applyAlignment="1">
      <alignment vertical="center"/>
    </xf>
    <xf numFmtId="0" fontId="27" fillId="4" borderId="56" xfId="0" applyFont="1" applyFill="1" applyBorder="1" applyAlignment="1">
      <alignment horizontal="center" vertical="center"/>
    </xf>
    <xf numFmtId="0" fontId="27" fillId="4" borderId="56" xfId="0" applyFont="1" applyFill="1" applyBorder="1" applyAlignment="1">
      <alignment vertical="center"/>
    </xf>
    <xf numFmtId="0" fontId="27" fillId="4" borderId="57" xfId="0" applyFont="1" applyFill="1" applyBorder="1" applyAlignment="1">
      <alignment vertical="center"/>
    </xf>
    <xf numFmtId="43" fontId="27" fillId="4" borderId="75" xfId="0" applyNumberFormat="1" applyFont="1" applyFill="1" applyBorder="1" applyAlignment="1">
      <alignment vertical="center"/>
    </xf>
    <xf numFmtId="2" fontId="27" fillId="4" borderId="75" xfId="0" applyNumberFormat="1" applyFont="1" applyFill="1" applyBorder="1" applyAlignment="1">
      <alignment vertical="center"/>
    </xf>
    <xf numFmtId="0" fontId="27" fillId="4" borderId="54" xfId="0" applyFont="1" applyFill="1" applyBorder="1" applyAlignment="1">
      <alignment vertical="center"/>
    </xf>
    <xf numFmtId="0" fontId="27" fillId="4" borderId="61" xfId="0" applyFont="1" applyFill="1" applyBorder="1" applyAlignment="1">
      <alignment vertical="center"/>
    </xf>
    <xf numFmtId="0" fontId="29" fillId="0" borderId="14" xfId="0" applyFont="1" applyBorder="1" applyAlignment="1">
      <alignment horizontal="left" vertical="center" indent="1"/>
    </xf>
    <xf numFmtId="43" fontId="27" fillId="0" borderId="0" xfId="0" applyNumberFormat="1" applyFont="1" applyAlignment="1">
      <alignment vertical="center"/>
    </xf>
    <xf numFmtId="0" fontId="35" fillId="0" borderId="79" xfId="0" applyFont="1" applyBorder="1" applyAlignment="1">
      <alignment vertical="center"/>
    </xf>
    <xf numFmtId="0" fontId="27" fillId="0" borderId="79" xfId="0" applyFont="1" applyBorder="1" applyAlignment="1">
      <alignment vertical="center"/>
    </xf>
    <xf numFmtId="0" fontId="29" fillId="0" borderId="79" xfId="0" applyFont="1" applyBorder="1" applyAlignment="1">
      <alignment horizontal="right" vertical="center"/>
    </xf>
    <xf numFmtId="0" fontId="35" fillId="0" borderId="81" xfId="0" applyFont="1" applyBorder="1" applyAlignment="1">
      <alignment vertical="center"/>
    </xf>
    <xf numFmtId="0" fontId="36" fillId="0" borderId="5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3" fillId="4" borderId="55" xfId="0" applyFont="1" applyFill="1" applyBorder="1" applyAlignment="1">
      <alignment horizontal="left" vertical="top" wrapText="1"/>
    </xf>
    <xf numFmtId="0" fontId="34" fillId="4" borderId="55" xfId="0" applyFont="1" applyFill="1" applyBorder="1" applyAlignment="1">
      <alignment horizontal="left" vertical="center" wrapText="1"/>
    </xf>
    <xf numFmtId="0" fontId="27" fillId="0" borderId="61" xfId="0" applyFont="1" applyBorder="1" applyAlignment="1">
      <alignment horizontal="center" vertical="center"/>
    </xf>
    <xf numFmtId="43" fontId="27" fillId="0" borderId="78" xfId="0" applyNumberFormat="1" applyFont="1" applyBorder="1" applyAlignment="1">
      <alignment vertical="center"/>
    </xf>
    <xf numFmtId="43" fontId="27" fillId="4" borderId="78" xfId="0" applyNumberFormat="1" applyFont="1" applyFill="1" applyBorder="1" applyAlignment="1">
      <alignment vertical="center"/>
    </xf>
    <xf numFmtId="2" fontId="27" fillId="0" borderId="78" xfId="0" applyNumberFormat="1" applyFont="1" applyBorder="1" applyAlignment="1">
      <alignment vertical="center"/>
    </xf>
    <xf numFmtId="2" fontId="27" fillId="0" borderId="58" xfId="0" applyNumberFormat="1" applyFont="1" applyBorder="1" applyAlignment="1">
      <alignment vertical="center"/>
    </xf>
    <xf numFmtId="2" fontId="27" fillId="0" borderId="59" xfId="0" applyNumberFormat="1" applyFont="1" applyBorder="1" applyAlignment="1">
      <alignment vertical="center"/>
    </xf>
    <xf numFmtId="2" fontId="27" fillId="4" borderId="59" xfId="0" applyNumberFormat="1" applyFont="1" applyFill="1" applyBorder="1" applyAlignment="1">
      <alignment vertical="center"/>
    </xf>
    <xf numFmtId="0" fontId="18" fillId="0" borderId="87" xfId="0" applyFont="1" applyBorder="1"/>
    <xf numFmtId="2" fontId="18" fillId="0" borderId="0" xfId="0" applyNumberFormat="1" applyFont="1"/>
    <xf numFmtId="49" fontId="0" fillId="0" borderId="0" xfId="0" applyNumberFormat="1" applyAlignment="1">
      <alignment vertical="center" wrapText="1"/>
    </xf>
    <xf numFmtId="0" fontId="29" fillId="4" borderId="65" xfId="0" applyFont="1" applyFill="1" applyBorder="1" applyAlignment="1">
      <alignment horizontal="left" vertical="center" indent="1"/>
    </xf>
    <xf numFmtId="0" fontId="27" fillId="0" borderId="54" xfId="0" applyFont="1" applyBorder="1" applyAlignment="1">
      <alignment vertical="center"/>
    </xf>
    <xf numFmtId="0" fontId="37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10" fontId="5" fillId="2" borderId="5" xfId="3" applyNumberFormat="1" applyFont="1" applyFill="1" applyBorder="1" applyAlignment="1">
      <alignment horizontal="right"/>
    </xf>
    <xf numFmtId="0" fontId="18" fillId="0" borderId="8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26" fillId="0" borderId="0" xfId="3" applyFont="1" applyAlignment="1">
      <alignment horizont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16" fillId="0" borderId="0" xfId="3" applyFont="1" applyAlignment="1">
      <alignment horizontal="left"/>
    </xf>
    <xf numFmtId="49" fontId="12" fillId="0" borderId="0" xfId="5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3" fontId="27" fillId="0" borderId="79" xfId="0" applyNumberFormat="1" applyFont="1" applyBorder="1" applyAlignment="1">
      <alignment horizontal="center" vertical="center"/>
    </xf>
    <xf numFmtId="43" fontId="27" fillId="0" borderId="80" xfId="0" applyNumberFormat="1" applyFont="1" applyBorder="1" applyAlignment="1">
      <alignment horizontal="center" vertical="center"/>
    </xf>
    <xf numFmtId="0" fontId="28" fillId="5" borderId="27" xfId="0" applyFont="1" applyFill="1" applyBorder="1" applyAlignment="1">
      <alignment horizontal="center" vertical="center" wrapText="1"/>
    </xf>
    <xf numFmtId="0" fontId="28" fillId="5" borderId="36" xfId="0" applyFont="1" applyFill="1" applyBorder="1" applyAlignment="1">
      <alignment horizontal="center" vertical="center"/>
    </xf>
    <xf numFmtId="0" fontId="0" fillId="4" borderId="83" xfId="0" applyFill="1" applyBorder="1"/>
    <xf numFmtId="0" fontId="0" fillId="4" borderId="82" xfId="0" applyFill="1" applyBorder="1"/>
    <xf numFmtId="0" fontId="0" fillId="4" borderId="84" xfId="0" applyFill="1" applyBorder="1"/>
    <xf numFmtId="0" fontId="0" fillId="4" borderId="85" xfId="0" applyFill="1" applyBorder="1"/>
    <xf numFmtId="0" fontId="0" fillId="4" borderId="86" xfId="0" applyFill="1" applyBorder="1"/>
    <xf numFmtId="0" fontId="18" fillId="4" borderId="0" xfId="0" applyFont="1" applyFill="1" applyAlignment="1">
      <alignment horizontal="center"/>
    </xf>
    <xf numFmtId="0" fontId="0" fillId="4" borderId="0" xfId="0" applyFill="1"/>
    <xf numFmtId="0" fontId="18" fillId="4" borderId="0" xfId="0" applyFont="1" applyFill="1"/>
    <xf numFmtId="0" fontId="18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86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center"/>
    </xf>
    <xf numFmtId="164" fontId="18" fillId="4" borderId="0" xfId="1" applyFont="1" applyFill="1"/>
    <xf numFmtId="0" fontId="0" fillId="4" borderId="0" xfId="0" applyFill="1" applyAlignment="1">
      <alignment horizontal="center"/>
    </xf>
    <xf numFmtId="0" fontId="0" fillId="4" borderId="0" xfId="0" applyNumberFormat="1" applyFill="1" applyAlignment="1">
      <alignment horizontal="center"/>
    </xf>
    <xf numFmtId="14" fontId="0" fillId="4" borderId="0" xfId="0" applyNumberFormat="1" applyFill="1"/>
    <xf numFmtId="2" fontId="0" fillId="4" borderId="0" xfId="0" applyNumberFormat="1" applyFill="1"/>
    <xf numFmtId="0" fontId="0" fillId="4" borderId="0" xfId="0" applyFill="1" applyAlignment="1">
      <alignment horizontal="right"/>
    </xf>
    <xf numFmtId="0" fontId="0" fillId="4" borderId="88" xfId="0" applyFill="1" applyBorder="1"/>
    <xf numFmtId="0" fontId="0" fillId="4" borderId="19" xfId="0" applyFill="1" applyBorder="1"/>
    <xf numFmtId="0" fontId="0" fillId="4" borderId="89" xfId="0" applyFill="1" applyBorder="1"/>
    <xf numFmtId="0" fontId="0" fillId="4" borderId="0" xfId="0" applyFill="1" applyBorder="1"/>
    <xf numFmtId="0" fontId="1" fillId="0" borderId="0" xfId="0" applyFont="1"/>
    <xf numFmtId="0" fontId="39" fillId="0" borderId="9" xfId="0" quotePrefix="1" applyFont="1" applyBorder="1" applyAlignment="1">
      <alignment horizontal="right" vertical="center" wrapText="1"/>
    </xf>
    <xf numFmtId="0" fontId="39" fillId="0" borderId="9" xfId="0" applyFont="1" applyBorder="1" applyAlignment="1">
      <alignment vertical="center" wrapText="1"/>
    </xf>
    <xf numFmtId="0" fontId="41" fillId="0" borderId="9" xfId="0" quotePrefix="1" applyFont="1" applyBorder="1" applyAlignment="1">
      <alignment horizontal="right" vertical="center" wrapText="1"/>
    </xf>
    <xf numFmtId="0" fontId="41" fillId="0" borderId="9" xfId="0" applyFont="1" applyBorder="1" applyAlignment="1">
      <alignment vertical="center" wrapText="1"/>
    </xf>
    <xf numFmtId="49" fontId="41" fillId="0" borderId="9" xfId="0" quotePrefix="1" applyNumberFormat="1" applyFont="1" applyBorder="1" applyAlignment="1">
      <alignment horizontal="right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/>
    </xf>
    <xf numFmtId="173" fontId="38" fillId="0" borderId="18" xfId="0" applyNumberFormat="1" applyFont="1" applyBorder="1" applyAlignment="1">
      <alignment horizontal="right" vertical="center" shrinkToFit="1"/>
    </xf>
    <xf numFmtId="0" fontId="39" fillId="0" borderId="18" xfId="0" applyFont="1" applyBorder="1" applyAlignment="1">
      <alignment horizontal="left" vertical="center" wrapText="1"/>
    </xf>
    <xf numFmtId="0" fontId="40" fillId="0" borderId="18" xfId="0" applyFont="1" applyBorder="1" applyAlignment="1">
      <alignment horizontal="left" vertical="center" wrapText="1"/>
    </xf>
    <xf numFmtId="164" fontId="40" fillId="0" borderId="21" xfId="1" applyFont="1" applyBorder="1" applyAlignment="1">
      <alignment horizontal="left" vertical="center" wrapText="1"/>
    </xf>
    <xf numFmtId="164" fontId="40" fillId="0" borderId="9" xfId="1" applyFont="1" applyBorder="1" applyAlignment="1">
      <alignment horizontal="left" vertical="center"/>
    </xf>
    <xf numFmtId="164" fontId="41" fillId="0" borderId="10" xfId="1" applyFont="1" applyBorder="1" applyAlignment="1">
      <alignment vertical="center"/>
    </xf>
    <xf numFmtId="174" fontId="42" fillId="0" borderId="18" xfId="0" applyNumberFormat="1" applyFont="1" applyBorder="1" applyAlignment="1">
      <alignment horizontal="right" vertical="center" shrinkToFit="1"/>
    </xf>
    <xf numFmtId="164" fontId="40" fillId="0" borderId="9" xfId="1" applyFont="1" applyBorder="1" applyAlignment="1">
      <alignment horizontal="right" vertical="center"/>
    </xf>
    <xf numFmtId="164" fontId="41" fillId="0" borderId="12" xfId="1" applyFont="1" applyBorder="1" applyAlignment="1">
      <alignment vertical="center"/>
    </xf>
    <xf numFmtId="174" fontId="42" fillId="0" borderId="20" xfId="0" applyNumberFormat="1" applyFont="1" applyBorder="1" applyAlignment="1">
      <alignment horizontal="right" vertical="center" shrinkToFit="1"/>
    </xf>
    <xf numFmtId="164" fontId="41" fillId="0" borderId="9" xfId="1" applyFont="1" applyBorder="1" applyAlignment="1">
      <alignment horizontal="right" vertical="center"/>
    </xf>
    <xf numFmtId="164" fontId="41" fillId="0" borderId="12" xfId="1" applyFont="1" applyBorder="1" applyAlignment="1">
      <alignment horizontal="right" vertical="center"/>
    </xf>
    <xf numFmtId="164" fontId="40" fillId="4" borderId="9" xfId="1" applyFont="1" applyFill="1" applyBorder="1" applyAlignment="1">
      <alignment horizontal="right" vertical="center"/>
    </xf>
    <xf numFmtId="0" fontId="38" fillId="0" borderId="0" xfId="0" applyFont="1" applyAlignment="1">
      <alignment horizontal="left" vertical="center"/>
    </xf>
    <xf numFmtId="164" fontId="38" fillId="0" borderId="0" xfId="1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10" fontId="42" fillId="0" borderId="0" xfId="0" applyNumberFormat="1" applyFont="1" applyAlignment="1">
      <alignment horizontal="center" vertical="center"/>
    </xf>
    <xf numFmtId="164" fontId="42" fillId="0" borderId="0" xfId="1" applyFont="1" applyAlignment="1">
      <alignment horizontal="left" vertical="center"/>
    </xf>
    <xf numFmtId="164" fontId="42" fillId="0" borderId="13" xfId="1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164" fontId="38" fillId="0" borderId="13" xfId="1" applyFont="1" applyBorder="1" applyAlignment="1">
      <alignment vertical="center"/>
    </xf>
    <xf numFmtId="0" fontId="38" fillId="0" borderId="15" xfId="0" applyFont="1" applyBorder="1" applyAlignment="1">
      <alignment horizontal="left" vertical="center"/>
    </xf>
    <xf numFmtId="164" fontId="38" fillId="0" borderId="15" xfId="1" applyFont="1" applyBorder="1" applyAlignment="1">
      <alignment horizontal="left" vertical="center"/>
    </xf>
    <xf numFmtId="164" fontId="38" fillId="0" borderId="5" xfId="1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9" xfId="0" applyFont="1" applyBorder="1" applyAlignment="1">
      <alignment horizontal="left" vertical="center" wrapText="1"/>
    </xf>
    <xf numFmtId="0" fontId="43" fillId="0" borderId="18" xfId="0" applyFont="1" applyBorder="1" applyAlignment="1">
      <alignment horizontal="center" vertical="center" wrapText="1"/>
    </xf>
    <xf numFmtId="164" fontId="42" fillId="0" borderId="21" xfId="1" applyFont="1" applyBorder="1" applyAlignment="1">
      <alignment horizontal="right" vertical="center" shrinkToFit="1"/>
    </xf>
    <xf numFmtId="164" fontId="43" fillId="0" borderId="9" xfId="1" applyFont="1" applyBorder="1" applyAlignment="1">
      <alignment horizontal="center" vertical="center"/>
    </xf>
    <xf numFmtId="164" fontId="43" fillId="8" borderId="9" xfId="1" applyFont="1" applyFill="1" applyBorder="1" applyAlignment="1">
      <alignment horizontal="center" vertical="center"/>
    </xf>
    <xf numFmtId="164" fontId="40" fillId="0" borderId="21" xfId="1" applyFont="1" applyBorder="1" applyAlignment="1">
      <alignment horizontal="right" vertical="center" wrapText="1"/>
    </xf>
    <xf numFmtId="164" fontId="40" fillId="0" borderId="9" xfId="1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 wrapText="1"/>
    </xf>
    <xf numFmtId="164" fontId="42" fillId="0" borderId="22" xfId="1" applyFont="1" applyBorder="1" applyAlignment="1">
      <alignment horizontal="right" vertical="center" shrinkToFit="1"/>
    </xf>
    <xf numFmtId="0" fontId="40" fillId="0" borderId="9" xfId="0" applyFont="1" applyBorder="1" applyAlignment="1">
      <alignment horizontal="center" vertical="center" wrapText="1"/>
    </xf>
    <xf numFmtId="164" fontId="43" fillId="0" borderId="9" xfId="1" applyFont="1" applyBorder="1" applyAlignment="1">
      <alignment vertical="center" wrapText="1"/>
    </xf>
    <xf numFmtId="0" fontId="44" fillId="0" borderId="9" xfId="0" quotePrefix="1" applyFont="1" applyBorder="1" applyAlignment="1">
      <alignment horizontal="right" vertical="center" wrapText="1"/>
    </xf>
    <xf numFmtId="0" fontId="44" fillId="0" borderId="9" xfId="0" applyFont="1" applyBorder="1" applyAlignment="1">
      <alignment horizontal="left" vertical="center" wrapText="1"/>
    </xf>
    <xf numFmtId="164" fontId="40" fillId="0" borderId="9" xfId="1" applyFont="1" applyBorder="1" applyAlignment="1">
      <alignment vertical="center" wrapText="1"/>
    </xf>
    <xf numFmtId="0" fontId="40" fillId="0" borderId="9" xfId="0" applyFont="1" applyBorder="1" applyAlignment="1">
      <alignment horizontal="right" vertical="center" wrapText="1"/>
    </xf>
    <xf numFmtId="0" fontId="39" fillId="0" borderId="9" xfId="0" applyFont="1" applyBorder="1" applyAlignment="1">
      <alignment horizontal="center" vertical="center" wrapText="1"/>
    </xf>
    <xf numFmtId="164" fontId="39" fillId="0" borderId="9" xfId="1" applyFont="1" applyBorder="1" applyAlignment="1">
      <alignment vertical="center" wrapText="1"/>
    </xf>
    <xf numFmtId="0" fontId="43" fillId="0" borderId="9" xfId="0" quotePrefix="1" applyFont="1" applyBorder="1" applyAlignment="1">
      <alignment horizontal="right" vertical="center" wrapText="1"/>
    </xf>
    <xf numFmtId="4" fontId="40" fillId="0" borderId="9" xfId="0" applyNumberFormat="1" applyFont="1" applyBorder="1" applyAlignment="1">
      <alignment horizontal="center" vertical="center" wrapText="1"/>
    </xf>
    <xf numFmtId="0" fontId="43" fillId="4" borderId="9" xfId="0" quotePrefix="1" applyFont="1" applyFill="1" applyBorder="1" applyAlignment="1">
      <alignment horizontal="right" vertical="center" wrapText="1"/>
    </xf>
    <xf numFmtId="0" fontId="40" fillId="4" borderId="9" xfId="0" applyFont="1" applyFill="1" applyBorder="1" applyAlignment="1">
      <alignment horizontal="left" vertical="center" wrapText="1"/>
    </xf>
    <xf numFmtId="4" fontId="40" fillId="4" borderId="9" xfId="0" applyNumberFormat="1" applyFont="1" applyFill="1" applyBorder="1" applyAlignment="1">
      <alignment horizontal="center" vertical="center" wrapText="1"/>
    </xf>
    <xf numFmtId="164" fontId="43" fillId="4" borderId="9" xfId="1" applyFont="1" applyFill="1" applyBorder="1" applyAlignment="1">
      <alignment vertical="center" wrapText="1"/>
    </xf>
    <xf numFmtId="4" fontId="40" fillId="0" borderId="0" xfId="0" applyNumberFormat="1" applyFont="1" applyAlignment="1">
      <alignment vertical="center"/>
    </xf>
    <xf numFmtId="0" fontId="40" fillId="0" borderId="10" xfId="0" applyFont="1" applyBorder="1" applyAlignment="1">
      <alignment horizontal="left" vertical="center" wrapText="1"/>
    </xf>
    <xf numFmtId="4" fontId="40" fillId="0" borderId="10" xfId="0" applyNumberFormat="1" applyFont="1" applyBorder="1" applyAlignment="1">
      <alignment horizontal="center" vertical="center" wrapText="1"/>
    </xf>
    <xf numFmtId="164" fontId="43" fillId="0" borderId="10" xfId="1" applyFont="1" applyBorder="1" applyAlignment="1">
      <alignment vertical="center" wrapText="1"/>
    </xf>
    <xf numFmtId="0" fontId="43" fillId="0" borderId="9" xfId="0" applyFont="1" applyBorder="1" applyAlignment="1">
      <alignment horizontal="center" vertical="center" wrapText="1"/>
    </xf>
    <xf numFmtId="0" fontId="40" fillId="0" borderId="9" xfId="0" quotePrefix="1" applyFont="1" applyBorder="1" applyAlignment="1">
      <alignment horizontal="right" vertical="center" wrapText="1"/>
    </xf>
    <xf numFmtId="164" fontId="43" fillId="4" borderId="9" xfId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164" fontId="40" fillId="0" borderId="2" xfId="1" applyFont="1" applyBorder="1" applyAlignment="1">
      <alignment horizontal="left" vertical="center"/>
    </xf>
    <xf numFmtId="164" fontId="40" fillId="0" borderId="3" xfId="1" applyFont="1" applyBorder="1" applyAlignment="1">
      <alignment horizontal="left" vertical="center"/>
    </xf>
    <xf numFmtId="0" fontId="40" fillId="0" borderId="11" xfId="0" applyFont="1" applyBorder="1" applyAlignment="1">
      <alignment horizontal="left" vertical="center"/>
    </xf>
    <xf numFmtId="164" fontId="40" fillId="0" borderId="0" xfId="1" applyFont="1" applyAlignment="1">
      <alignment vertical="center"/>
    </xf>
    <xf numFmtId="0" fontId="40" fillId="0" borderId="4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45" fillId="0" borderId="0" xfId="0" applyFont="1" applyAlignment="1">
      <alignment horizontal="centerContinuous" vertical="center"/>
    </xf>
    <xf numFmtId="43" fontId="45" fillId="0" borderId="0" xfId="0" applyNumberFormat="1" applyFont="1" applyAlignment="1">
      <alignment horizontal="centerContinuous" vertical="center"/>
    </xf>
    <xf numFmtId="0" fontId="39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43" fontId="43" fillId="0" borderId="0" xfId="0" applyNumberFormat="1" applyFont="1" applyAlignment="1">
      <alignment vertical="center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vertical="center"/>
    </xf>
    <xf numFmtId="43" fontId="39" fillId="0" borderId="7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vertical="center"/>
    </xf>
    <xf numFmtId="43" fontId="43" fillId="0" borderId="2" xfId="0" applyNumberFormat="1" applyFont="1" applyBorder="1" applyAlignment="1">
      <alignment vertical="center"/>
    </xf>
    <xf numFmtId="0" fontId="39" fillId="0" borderId="0" xfId="0" applyFont="1" applyAlignment="1">
      <alignment horizontal="center" vertical="center"/>
    </xf>
    <xf numFmtId="175" fontId="43" fillId="0" borderId="0" xfId="2" applyNumberFormat="1" applyFont="1" applyAlignment="1">
      <alignment horizontal="center" vertical="center"/>
    </xf>
    <xf numFmtId="43" fontId="39" fillId="0" borderId="0" xfId="0" applyNumberFormat="1" applyFont="1" applyAlignment="1">
      <alignment vertical="center"/>
    </xf>
    <xf numFmtId="175" fontId="39" fillId="0" borderId="0" xfId="2" applyNumberFormat="1" applyFont="1" applyAlignment="1">
      <alignment horizontal="center" vertical="center"/>
    </xf>
    <xf numFmtId="0" fontId="43" fillId="0" borderId="82" xfId="0" applyFont="1" applyBorder="1" applyAlignment="1">
      <alignment horizontal="center" vertical="center"/>
    </xf>
    <xf numFmtId="0" fontId="39" fillId="0" borderId="82" xfId="0" applyFont="1" applyBorder="1" applyAlignment="1">
      <alignment vertical="center"/>
    </xf>
    <xf numFmtId="0" fontId="39" fillId="0" borderId="82" xfId="0" applyFont="1" applyBorder="1" applyAlignment="1">
      <alignment horizontal="center" vertical="center"/>
    </xf>
    <xf numFmtId="43" fontId="39" fillId="0" borderId="82" xfId="0" applyNumberFormat="1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3" fillId="0" borderId="55" xfId="0" applyFont="1" applyBorder="1" applyAlignment="1">
      <alignment horizontal="center" vertical="center"/>
    </xf>
    <xf numFmtId="43" fontId="43" fillId="0" borderId="55" xfId="0" applyNumberFormat="1" applyFont="1" applyBorder="1" applyAlignment="1">
      <alignment vertical="center"/>
    </xf>
    <xf numFmtId="0" fontId="43" fillId="0" borderId="16" xfId="3" applyFont="1" applyBorder="1"/>
    <xf numFmtId="0" fontId="40" fillId="0" borderId="0" xfId="11" applyFont="1"/>
    <xf numFmtId="0" fontId="41" fillId="0" borderId="9" xfId="11" applyFont="1" applyBorder="1" applyAlignment="1">
      <alignment horizontal="center"/>
    </xf>
    <xf numFmtId="0" fontId="40" fillId="0" borderId="9" xfId="11" applyFont="1" applyBorder="1"/>
    <xf numFmtId="43" fontId="40" fillId="0" borderId="9" xfId="12" applyFont="1" applyBorder="1"/>
    <xf numFmtId="43" fontId="40" fillId="0" borderId="0" xfId="11" applyNumberFormat="1" applyFont="1"/>
  </cellXfs>
  <cellStyles count="13">
    <cellStyle name="Cancel" xfId="3" xr:uid="{00000000-0005-0000-0000-000000000000}"/>
    <cellStyle name="Millares" xfId="1" builtinId="3"/>
    <cellStyle name="Millares [0] 2" xfId="8" xr:uid="{00000000-0005-0000-0000-000002000000}"/>
    <cellStyle name="Millares 10" xfId="10" xr:uid="{4FDDB7E7-A3DB-49D8-90F6-37D21DE09421}"/>
    <cellStyle name="Millares 2" xfId="6" xr:uid="{00000000-0005-0000-0000-000003000000}"/>
    <cellStyle name="Millares 3" xfId="12" xr:uid="{13122839-EAA6-4491-A2AC-64AD34164865}"/>
    <cellStyle name="Normal" xfId="0" builtinId="0"/>
    <cellStyle name="Normal 10" xfId="9" xr:uid="{00000000-0005-0000-0000-000005000000}"/>
    <cellStyle name="Normal 2" xfId="11" xr:uid="{D966889B-CF4A-42F5-882B-BF97AAF30B77}"/>
    <cellStyle name="Normal 3" xfId="5" xr:uid="{00000000-0005-0000-0000-000006000000}"/>
    <cellStyle name="Porcentaje" xfId="2" builtinId="5"/>
    <cellStyle name="Porcentaje 2 2" xfId="7" xr:uid="{00000000-0005-0000-0000-000008000000}"/>
    <cellStyle name="Porcentaje 3" xfId="4" xr:uid="{00000000-0005-0000-0000-000009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27488</xdr:colOff>
      <xdr:row>2</xdr:row>
      <xdr:rowOff>172583</xdr:rowOff>
    </xdr:from>
    <xdr:to>
      <xdr:col>6</xdr:col>
      <xdr:colOff>441324</xdr:colOff>
      <xdr:row>6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19317F-F69D-4F25-BB93-C8BD6FA53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3888" y="553583"/>
          <a:ext cx="1480636" cy="5513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321497</xdr:colOff>
      <xdr:row>3</xdr:row>
      <xdr:rowOff>30360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852BD-2C28-4453-A6DC-75D07F6D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0"/>
          <a:ext cx="1355912" cy="601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1</xdr:row>
      <xdr:rowOff>33619</xdr:rowOff>
    </xdr:from>
    <xdr:to>
      <xdr:col>2</xdr:col>
      <xdr:colOff>560294</xdr:colOff>
      <xdr:row>4</xdr:row>
      <xdr:rowOff>164832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A9B816-2C8B-4991-B0E3-7B17EB6E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" y="190501"/>
          <a:ext cx="1355912" cy="6018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2</xdr:row>
      <xdr:rowOff>0</xdr:rowOff>
    </xdr:from>
    <xdr:to>
      <xdr:col>2</xdr:col>
      <xdr:colOff>682812</xdr:colOff>
      <xdr:row>5</xdr:row>
      <xdr:rowOff>30360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F6E83F-D8B2-486F-9129-AC493BE24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355600"/>
          <a:ext cx="1381312" cy="5637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</xdr:row>
      <xdr:rowOff>114300</xdr:rowOff>
    </xdr:from>
    <xdr:to>
      <xdr:col>2</xdr:col>
      <xdr:colOff>1041587</xdr:colOff>
      <xdr:row>6</xdr:row>
      <xdr:rowOff>144660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7ECD45-E91E-4AA9-8101-6C4781769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400050"/>
          <a:ext cx="1355912" cy="6018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1384487</xdr:colOff>
      <xdr:row>3</xdr:row>
      <xdr:rowOff>30360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2A804E-E763-446F-86FB-05C0D28C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1355912" cy="6018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UENTE%20JUAN%20PABLO%20II%20-%20actualizar\JPII\Cap.%2018%20Metrados\MOORE%20DEFINITIVO\METRADOS\200\02.01.00-02.06.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CAR\Izcuchaca%20-%20Huancavelica\Aguaytia\supervision\Valorizacion\Contratista\Val%2001%20Mayo%202003\Valorizacion\Javier%20JIMENEZ\VALORIZACIONES\BITU\REST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Y%20AP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GRÁFICA C MICRO FINANC"/>
      <sheetName val="EX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EVAL"/>
      <sheetName val="Resumen anual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Tipo de Cambio"/>
      <sheetName val="MONTAJE_TUBERIA_Y_SOPORTES"/>
      <sheetName val="Anx_1_Nota_4"/>
      <sheetName val="Tipo_de_Cambio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Apus"/>
      <sheetName val="2019"/>
      <sheetName val="2020"/>
      <sheetName val="MATER_CONCENTR_CBV99"/>
      <sheetName val="COSTO-MANO-OBRA-_CBV99"/>
      <sheetName val="MATER_CBV2000"/>
      <sheetName val="DISTR.MANT.ELECTRICA"/>
      <sheetName val="DOTACION_CBV99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/>
      <sheetData sheetId="238">
        <row r="9">
          <cell r="H9">
            <v>0.90469999999999995</v>
          </cell>
        </row>
      </sheetData>
      <sheetData sheetId="239"/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/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/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PRESUPUESTO"/>
      <sheetName val=" APU PARTIDAS"/>
      <sheetName val="SUBPARTIDAS"/>
      <sheetName val="EPPS"/>
      <sheetName val="INSUMOS"/>
      <sheetName val="Dimensionamiento equipos"/>
      <sheetName val="Movilizacion y desmovlizacion"/>
      <sheetName val="Dimensionamiento de MO"/>
      <sheetName val="COMPONENTES"/>
      <sheetName val="RESUMEN FINANCIERO"/>
      <sheetName val="GANTT"/>
    </sheetNames>
    <sheetDataSet>
      <sheetData sheetId="0">
        <row r="21">
          <cell r="G21">
            <v>44843</v>
          </cell>
        </row>
        <row r="23">
          <cell r="G23">
            <v>3.97</v>
          </cell>
        </row>
        <row r="25">
          <cell r="G25">
            <v>17.738983050847459</v>
          </cell>
        </row>
      </sheetData>
      <sheetData sheetId="1">
        <row r="8">
          <cell r="F8">
            <v>2800</v>
          </cell>
        </row>
        <row r="9">
          <cell r="F9">
            <v>49999.999989999997</v>
          </cell>
        </row>
        <row r="10">
          <cell r="F10">
            <v>87125</v>
          </cell>
        </row>
        <row r="12">
          <cell r="F12">
            <v>72000</v>
          </cell>
        </row>
        <row r="13">
          <cell r="F13">
            <v>43000</v>
          </cell>
        </row>
        <row r="16">
          <cell r="F16">
            <v>13.64236625235405</v>
          </cell>
        </row>
        <row r="17">
          <cell r="F17">
            <v>42338.517014124292</v>
          </cell>
        </row>
        <row r="19">
          <cell r="F19">
            <v>2782.7079593220342</v>
          </cell>
        </row>
        <row r="20">
          <cell r="F20">
            <v>1722.2306033898305</v>
          </cell>
        </row>
        <row r="21">
          <cell r="F21">
            <v>1596.1180507118645</v>
          </cell>
        </row>
        <row r="22">
          <cell r="F22">
            <v>370.49976415819208</v>
          </cell>
        </row>
        <row r="24">
          <cell r="F24">
            <v>541.22856000000002</v>
          </cell>
        </row>
        <row r="25">
          <cell r="F25">
            <v>91.011266666666671</v>
          </cell>
        </row>
        <row r="28">
          <cell r="F28">
            <v>5.284345755932204</v>
          </cell>
        </row>
        <row r="29">
          <cell r="F29">
            <v>7.0343928357473038</v>
          </cell>
        </row>
        <row r="30">
          <cell r="F30">
            <v>2.8450376908474579</v>
          </cell>
        </row>
        <row r="31">
          <cell r="F31">
            <v>30.024547207748185</v>
          </cell>
        </row>
        <row r="32">
          <cell r="F32">
            <v>37.530684009685231</v>
          </cell>
        </row>
        <row r="33">
          <cell r="F33">
            <v>17.052432983050849</v>
          </cell>
        </row>
        <row r="34">
          <cell r="F34">
            <v>88.2</v>
          </cell>
        </row>
        <row r="35">
          <cell r="F35">
            <v>98.2</v>
          </cell>
        </row>
        <row r="37">
          <cell r="F37">
            <v>5.284345755932204</v>
          </cell>
        </row>
        <row r="38">
          <cell r="F38">
            <v>7.0343928357473038</v>
          </cell>
        </row>
        <row r="39">
          <cell r="F39">
            <v>2.8450376908474579</v>
          </cell>
        </row>
        <row r="40">
          <cell r="F40">
            <v>30.024547207748185</v>
          </cell>
        </row>
        <row r="41">
          <cell r="F41">
            <v>37.530684009685231</v>
          </cell>
        </row>
        <row r="42">
          <cell r="F42">
            <v>17.052432983050849</v>
          </cell>
        </row>
        <row r="43">
          <cell r="F43">
            <v>88.2</v>
          </cell>
        </row>
        <row r="44">
          <cell r="F44">
            <v>98.2</v>
          </cell>
        </row>
        <row r="46">
          <cell r="F46">
            <v>5.284345755932204</v>
          </cell>
        </row>
        <row r="47">
          <cell r="F47">
            <v>7.0343928357473038</v>
          </cell>
        </row>
        <row r="48">
          <cell r="F48">
            <v>2.8450376908474579</v>
          </cell>
        </row>
        <row r="49">
          <cell r="F49">
            <v>28.293935186440677</v>
          </cell>
        </row>
        <row r="50">
          <cell r="F50">
            <v>17.052432983050849</v>
          </cell>
        </row>
        <row r="51">
          <cell r="F51">
            <v>88.2</v>
          </cell>
        </row>
        <row r="52">
          <cell r="F52">
            <v>98.2</v>
          </cell>
        </row>
        <row r="54">
          <cell r="F54">
            <v>5.284345755932204</v>
          </cell>
        </row>
        <row r="55">
          <cell r="F55">
            <v>7.0343928357473038</v>
          </cell>
        </row>
        <row r="56">
          <cell r="F56">
            <v>2.8450376908474579</v>
          </cell>
        </row>
        <row r="57">
          <cell r="F57">
            <v>62.161508824213072</v>
          </cell>
        </row>
        <row r="59">
          <cell r="F59">
            <v>5.0337525355932211</v>
          </cell>
        </row>
        <row r="60">
          <cell r="F60">
            <v>7.0343928357473038</v>
          </cell>
        </row>
        <row r="61">
          <cell r="F61">
            <v>2.8450376908474579</v>
          </cell>
        </row>
        <row r="62">
          <cell r="F62">
            <v>92.2</v>
          </cell>
        </row>
        <row r="64">
          <cell r="F64">
            <v>6.8109189920903965</v>
          </cell>
        </row>
        <row r="65">
          <cell r="F65">
            <v>3.2801030508474578</v>
          </cell>
        </row>
        <row r="66">
          <cell r="F66">
            <v>10.216378488135595</v>
          </cell>
        </row>
        <row r="67">
          <cell r="F67">
            <v>3.6445589453860641</v>
          </cell>
        </row>
        <row r="68">
          <cell r="F68">
            <v>6.8109189920903965</v>
          </cell>
        </row>
        <row r="69">
          <cell r="F69">
            <v>3.2801030508474578</v>
          </cell>
        </row>
        <row r="71">
          <cell r="F71">
            <v>5.2465101323507746</v>
          </cell>
        </row>
        <row r="72">
          <cell r="F72">
            <v>4.1438554884437595</v>
          </cell>
        </row>
        <row r="74">
          <cell r="F74">
            <v>20423.600000000002</v>
          </cell>
        </row>
        <row r="75">
          <cell r="F75">
            <v>14961</v>
          </cell>
        </row>
      </sheetData>
      <sheetData sheetId="2">
        <row r="8">
          <cell r="K8">
            <v>2800</v>
          </cell>
        </row>
      </sheetData>
      <sheetData sheetId="3" refreshError="1"/>
      <sheetData sheetId="4" refreshError="1"/>
      <sheetData sheetId="5" refreshError="1"/>
      <sheetData sheetId="6">
        <row r="19">
          <cell r="M19">
            <v>12</v>
          </cell>
        </row>
      </sheetData>
      <sheetData sheetId="7" refreshError="1"/>
      <sheetData sheetId="8">
        <row r="11">
          <cell r="L11">
            <v>10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7F39-43A9-4377-AB45-8EE71B4D7CA5}">
  <dimension ref="B1:P31"/>
  <sheetViews>
    <sheetView showGridLines="0" tabSelected="1" view="pageBreakPreview" zoomScale="80" zoomScaleNormal="100" zoomScaleSheetLayoutView="80" workbookViewId="0">
      <selection activeCell="N14" sqref="N14"/>
    </sheetView>
  </sheetViews>
  <sheetFormatPr baseColWidth="10" defaultRowHeight="14.4" x14ac:dyDescent="0.3"/>
  <cols>
    <col min="2" max="2" width="4.44140625" customWidth="1"/>
    <col min="3" max="3" width="4.109375" customWidth="1"/>
    <col min="6" max="6" width="15.5546875" customWidth="1"/>
    <col min="7" max="7" width="16.5546875" bestFit="1" customWidth="1"/>
    <col min="8" max="8" width="12.88671875" customWidth="1"/>
    <col min="9" max="9" width="4.109375" customWidth="1"/>
    <col min="10" max="10" width="4" customWidth="1"/>
    <col min="12" max="12" width="14.33203125" customWidth="1"/>
    <col min="13" max="14" width="12.5546875" bestFit="1" customWidth="1"/>
    <col min="15" max="15" width="2.109375" customWidth="1"/>
  </cols>
  <sheetData>
    <row r="1" spans="2:10" ht="15" thickBot="1" x14ac:dyDescent="0.35"/>
    <row r="2" spans="2:10" ht="15" thickBot="1" x14ac:dyDescent="0.35">
      <c r="B2" s="247"/>
      <c r="C2" s="248"/>
      <c r="D2" s="248"/>
      <c r="E2" s="248"/>
      <c r="F2" s="248"/>
      <c r="G2" s="248"/>
      <c r="H2" s="248"/>
      <c r="I2" s="248"/>
      <c r="J2" s="249"/>
    </row>
    <row r="3" spans="2:10" x14ac:dyDescent="0.3">
      <c r="B3" s="250"/>
      <c r="C3" s="247"/>
      <c r="D3" s="248"/>
      <c r="E3" s="248"/>
      <c r="F3" s="248"/>
      <c r="G3" s="248"/>
      <c r="H3" s="248"/>
      <c r="I3" s="249"/>
      <c r="J3" s="251"/>
    </row>
    <row r="4" spans="2:10" x14ac:dyDescent="0.3">
      <c r="B4" s="250"/>
      <c r="C4" s="250"/>
      <c r="D4" s="269"/>
      <c r="E4" s="269"/>
      <c r="F4" s="269"/>
      <c r="G4" s="269"/>
      <c r="H4" s="269"/>
      <c r="I4" s="251"/>
      <c r="J4" s="251"/>
    </row>
    <row r="5" spans="2:10" x14ac:dyDescent="0.3">
      <c r="B5" s="250"/>
      <c r="C5" s="250"/>
      <c r="D5" s="269"/>
      <c r="E5" s="269"/>
      <c r="F5" s="269"/>
      <c r="G5" s="269"/>
      <c r="H5" s="269"/>
      <c r="I5" s="251"/>
      <c r="J5" s="251"/>
    </row>
    <row r="6" spans="2:10" x14ac:dyDescent="0.3">
      <c r="B6" s="250"/>
      <c r="C6" s="250"/>
      <c r="D6" s="269"/>
      <c r="E6" s="269"/>
      <c r="F6" s="269"/>
      <c r="G6" s="269"/>
      <c r="H6" s="269"/>
      <c r="I6" s="251"/>
      <c r="J6" s="251"/>
    </row>
    <row r="7" spans="2:10" x14ac:dyDescent="0.3">
      <c r="B7" s="250"/>
      <c r="C7" s="250"/>
      <c r="D7" s="269"/>
      <c r="E7" s="269"/>
      <c r="F7" s="269"/>
      <c r="G7" s="269"/>
      <c r="H7" s="269"/>
      <c r="I7" s="251"/>
      <c r="J7" s="251"/>
    </row>
    <row r="8" spans="2:10" x14ac:dyDescent="0.3">
      <c r="B8" s="250"/>
      <c r="C8" s="250"/>
      <c r="D8" s="252" t="s">
        <v>273</v>
      </c>
      <c r="E8" s="252"/>
      <c r="F8" s="252"/>
      <c r="G8" s="252"/>
      <c r="H8" s="252"/>
      <c r="I8" s="251"/>
      <c r="J8" s="251"/>
    </row>
    <row r="9" spans="2:10" x14ac:dyDescent="0.3">
      <c r="B9" s="250"/>
      <c r="C9" s="250"/>
      <c r="D9" s="253"/>
      <c r="E9" s="253"/>
      <c r="F9" s="253"/>
      <c r="G9" s="253"/>
      <c r="H9" s="253"/>
      <c r="I9" s="251"/>
      <c r="J9" s="251"/>
    </row>
    <row r="10" spans="2:10" x14ac:dyDescent="0.3">
      <c r="B10" s="250"/>
      <c r="C10" s="250"/>
      <c r="D10" s="253"/>
      <c r="E10" s="253"/>
      <c r="F10" s="253"/>
      <c r="G10" s="253"/>
      <c r="H10" s="253"/>
      <c r="I10" s="251"/>
      <c r="J10" s="251"/>
    </row>
    <row r="11" spans="2:10" ht="24" customHeight="1" x14ac:dyDescent="0.3">
      <c r="B11" s="250"/>
      <c r="C11" s="250"/>
      <c r="D11" s="254" t="s">
        <v>274</v>
      </c>
      <c r="E11" s="253"/>
      <c r="F11" s="253"/>
      <c r="G11" s="255" t="s">
        <v>294</v>
      </c>
      <c r="H11" s="255"/>
      <c r="I11" s="251"/>
      <c r="J11" s="251"/>
    </row>
    <row r="12" spans="2:10" x14ac:dyDescent="0.3">
      <c r="B12" s="250"/>
      <c r="C12" s="250"/>
      <c r="D12" s="254"/>
      <c r="E12" s="253"/>
      <c r="F12" s="253"/>
      <c r="G12" s="254"/>
      <c r="H12" s="254"/>
      <c r="I12" s="251"/>
      <c r="J12" s="251"/>
    </row>
    <row r="13" spans="2:10" ht="15" customHeight="1" x14ac:dyDescent="0.3">
      <c r="B13" s="250"/>
      <c r="C13" s="250"/>
      <c r="D13" s="254" t="s">
        <v>275</v>
      </c>
      <c r="E13" s="253"/>
      <c r="F13" s="253"/>
      <c r="G13" s="256" t="s">
        <v>276</v>
      </c>
      <c r="H13" s="256"/>
      <c r="I13" s="257"/>
      <c r="J13" s="251"/>
    </row>
    <row r="14" spans="2:10" ht="30" customHeight="1" x14ac:dyDescent="0.3">
      <c r="B14" s="250"/>
      <c r="C14" s="250"/>
      <c r="D14" s="254"/>
      <c r="E14" s="253"/>
      <c r="F14" s="253"/>
      <c r="G14" s="256"/>
      <c r="H14" s="256"/>
      <c r="I14" s="257"/>
      <c r="J14" s="251"/>
    </row>
    <row r="15" spans="2:10" x14ac:dyDescent="0.3">
      <c r="B15" s="250"/>
      <c r="C15" s="250"/>
      <c r="D15" s="254"/>
      <c r="E15" s="253"/>
      <c r="F15" s="253"/>
      <c r="G15" s="258"/>
      <c r="H15" s="258"/>
      <c r="I15" s="251"/>
      <c r="J15" s="251"/>
    </row>
    <row r="16" spans="2:10" x14ac:dyDescent="0.3">
      <c r="B16" s="250"/>
      <c r="C16" s="250"/>
      <c r="D16" s="254" t="s">
        <v>277</v>
      </c>
      <c r="E16" s="253"/>
      <c r="F16" s="253"/>
      <c r="G16" s="259" t="s">
        <v>278</v>
      </c>
      <c r="H16" s="259"/>
      <c r="I16" s="251"/>
      <c r="J16" s="251"/>
    </row>
    <row r="17" spans="2:16" x14ac:dyDescent="0.3">
      <c r="B17" s="250"/>
      <c r="C17" s="250"/>
      <c r="D17" s="254"/>
      <c r="E17" s="253"/>
      <c r="F17" s="253"/>
      <c r="G17" s="253"/>
      <c r="H17" s="253"/>
      <c r="I17" s="251"/>
      <c r="J17" s="251"/>
    </row>
    <row r="18" spans="2:16" x14ac:dyDescent="0.3">
      <c r="B18" s="250"/>
      <c r="C18" s="250"/>
      <c r="D18" s="254" t="s">
        <v>279</v>
      </c>
      <c r="E18" s="253"/>
      <c r="F18" s="253"/>
      <c r="G18" s="260">
        <f>PRESUPUESTO!G83</f>
        <v>1867929.7925672112</v>
      </c>
      <c r="H18" s="261" t="s">
        <v>280</v>
      </c>
      <c r="I18" s="251"/>
      <c r="J18" s="251"/>
    </row>
    <row r="19" spans="2:16" x14ac:dyDescent="0.3">
      <c r="B19" s="250"/>
      <c r="C19" s="250"/>
      <c r="D19" s="254"/>
      <c r="E19" s="253"/>
      <c r="F19" s="253"/>
      <c r="G19" s="253"/>
      <c r="H19" s="261"/>
      <c r="I19" s="251"/>
      <c r="J19" s="251"/>
    </row>
    <row r="20" spans="2:16" x14ac:dyDescent="0.3">
      <c r="B20" s="250"/>
      <c r="C20" s="250"/>
      <c r="D20" s="254" t="s">
        <v>281</v>
      </c>
      <c r="E20" s="253"/>
      <c r="F20" s="253"/>
      <c r="G20" s="262">
        <v>1</v>
      </c>
      <c r="H20" s="261" t="s">
        <v>282</v>
      </c>
      <c r="I20" s="251"/>
      <c r="J20" s="251"/>
    </row>
    <row r="21" spans="2:16" x14ac:dyDescent="0.3">
      <c r="B21" s="250"/>
      <c r="C21" s="250"/>
      <c r="D21" s="254"/>
      <c r="E21" s="253"/>
      <c r="F21" s="253"/>
      <c r="G21" s="253"/>
      <c r="H21" s="253"/>
      <c r="I21" s="251"/>
      <c r="J21" s="251"/>
    </row>
    <row r="22" spans="2:16" x14ac:dyDescent="0.3">
      <c r="B22" s="250"/>
      <c r="C22" s="250"/>
      <c r="D22" s="254" t="s">
        <v>283</v>
      </c>
      <c r="E22" s="253"/>
      <c r="F22" s="253"/>
      <c r="G22" s="263">
        <f>'[4]DATOS GENERALES'!$G$21</f>
        <v>44843</v>
      </c>
      <c r="H22" s="253"/>
      <c r="I22" s="251"/>
      <c r="J22" s="251"/>
    </row>
    <row r="23" spans="2:16" x14ac:dyDescent="0.3">
      <c r="B23" s="250"/>
      <c r="C23" s="250"/>
      <c r="D23" s="253"/>
      <c r="E23" s="253"/>
      <c r="F23" s="253"/>
      <c r="G23" s="253"/>
      <c r="H23" s="253"/>
      <c r="I23" s="251"/>
      <c r="J23" s="251"/>
      <c r="L23" s="227"/>
      <c r="M23" s="227"/>
      <c r="N23" s="227"/>
      <c r="P23" s="219"/>
    </row>
    <row r="24" spans="2:16" x14ac:dyDescent="0.3">
      <c r="B24" s="250"/>
      <c r="C24" s="250"/>
      <c r="D24" s="254" t="s">
        <v>284</v>
      </c>
      <c r="E24" s="253"/>
      <c r="F24" s="253"/>
      <c r="G24" s="264">
        <f>'[4]DATOS GENERALES'!$G$23</f>
        <v>3.97</v>
      </c>
      <c r="H24" s="265" t="s">
        <v>285</v>
      </c>
      <c r="I24" s="251"/>
      <c r="J24" s="251"/>
      <c r="M24" s="66"/>
      <c r="N24" s="66"/>
    </row>
    <row r="25" spans="2:16" x14ac:dyDescent="0.3">
      <c r="B25" s="250"/>
      <c r="C25" s="250"/>
      <c r="D25" s="253"/>
      <c r="E25" s="253"/>
      <c r="F25" s="253"/>
      <c r="G25" s="253"/>
      <c r="H25" s="265"/>
      <c r="I25" s="251"/>
      <c r="J25" s="251"/>
      <c r="L25" s="63"/>
    </row>
    <row r="26" spans="2:16" x14ac:dyDescent="0.3">
      <c r="B26" s="250"/>
      <c r="C26" s="250"/>
      <c r="D26" s="254" t="s">
        <v>286</v>
      </c>
      <c r="E26" s="253"/>
      <c r="F26" s="253"/>
      <c r="G26" s="264">
        <f>'[4]DATOS GENERALES'!$G$25</f>
        <v>17.738983050847459</v>
      </c>
      <c r="H26" s="265" t="s">
        <v>293</v>
      </c>
      <c r="I26" s="251"/>
      <c r="J26" s="251"/>
      <c r="L26" s="63"/>
      <c r="M26" s="220"/>
      <c r="N26" s="220"/>
      <c r="P26" s="220"/>
    </row>
    <row r="27" spans="2:16" x14ac:dyDescent="0.3">
      <c r="B27" s="250"/>
      <c r="C27" s="250"/>
      <c r="D27" s="253"/>
      <c r="E27" s="253"/>
      <c r="F27" s="253"/>
      <c r="G27" s="253"/>
      <c r="H27" s="253"/>
      <c r="I27" s="251"/>
      <c r="J27" s="251"/>
    </row>
    <row r="28" spans="2:16" ht="12.75" customHeight="1" x14ac:dyDescent="0.3">
      <c r="B28" s="250"/>
      <c r="C28" s="250"/>
      <c r="D28" s="253"/>
      <c r="E28" s="253"/>
      <c r="F28" s="253"/>
      <c r="G28" s="253"/>
      <c r="H28" s="253"/>
      <c r="I28" s="251"/>
      <c r="J28" s="251"/>
    </row>
    <row r="29" spans="2:16" x14ac:dyDescent="0.3">
      <c r="B29" s="250"/>
      <c r="C29" s="250"/>
      <c r="D29" s="253"/>
      <c r="E29" s="253"/>
      <c r="F29" s="253"/>
      <c r="G29" s="253"/>
      <c r="H29" s="253"/>
      <c r="I29" s="251"/>
      <c r="J29" s="251"/>
    </row>
    <row r="30" spans="2:16" ht="15" thickBot="1" x14ac:dyDescent="0.35">
      <c r="B30" s="250"/>
      <c r="C30" s="266"/>
      <c r="D30" s="267"/>
      <c r="E30" s="267"/>
      <c r="F30" s="267"/>
      <c r="G30" s="267"/>
      <c r="H30" s="267"/>
      <c r="I30" s="268"/>
      <c r="J30" s="251"/>
    </row>
    <row r="31" spans="2:16" ht="15" thickBot="1" x14ac:dyDescent="0.35">
      <c r="B31" s="266"/>
      <c r="C31" s="267"/>
      <c r="D31" s="267"/>
      <c r="E31" s="267"/>
      <c r="F31" s="267"/>
      <c r="G31" s="267"/>
      <c r="H31" s="267"/>
      <c r="I31" s="267"/>
      <c r="J31" s="268"/>
    </row>
  </sheetData>
  <mergeCells count="5">
    <mergeCell ref="D8:H8"/>
    <mergeCell ref="G13:I14"/>
    <mergeCell ref="G16:H16"/>
    <mergeCell ref="L23:N23"/>
    <mergeCell ref="G11:H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46D0-4467-467E-9433-B4176BD1C9C2}">
  <dimension ref="B3:L84"/>
  <sheetViews>
    <sheetView showGridLines="0" view="pageBreakPreview" zoomScaleNormal="100" zoomScaleSheetLayoutView="100" workbookViewId="0">
      <pane xSplit="3" ySplit="7" topLeftCell="D66" activePane="bottomRight" state="frozen"/>
      <selection pane="topRight" activeCell="D1" sqref="D1"/>
      <selection pane="bottomLeft" activeCell="A8" sqref="A8"/>
      <selection pane="bottomRight" activeCell="M69" sqref="M69"/>
    </sheetView>
  </sheetViews>
  <sheetFormatPr baseColWidth="10" defaultRowHeight="14.4" x14ac:dyDescent="0.3"/>
  <cols>
    <col min="1" max="1" width="2.5546875" customWidth="1"/>
    <col min="2" max="2" width="15.77734375" customWidth="1"/>
    <col min="3" max="3" width="56.5546875" customWidth="1"/>
    <col min="4" max="4" width="10.5546875" style="64" customWidth="1"/>
    <col min="5" max="6" width="11.44140625" style="61"/>
    <col min="7" max="7" width="15" customWidth="1"/>
    <col min="8" max="11" width="0" hidden="1" customWidth="1"/>
  </cols>
  <sheetData>
    <row r="3" spans="2:12" ht="15" customHeight="1" x14ac:dyDescent="0.35">
      <c r="B3" s="228" t="s">
        <v>52</v>
      </c>
      <c r="C3" s="228"/>
      <c r="D3" s="228"/>
      <c r="E3" s="228"/>
      <c r="F3" s="228"/>
      <c r="G3" s="228"/>
    </row>
    <row r="4" spans="2:12" ht="14.4" customHeight="1" x14ac:dyDescent="0.3">
      <c r="B4" s="221"/>
      <c r="C4" s="221"/>
      <c r="D4" s="221"/>
      <c r="E4" s="221"/>
      <c r="F4" s="221"/>
      <c r="G4" s="221"/>
    </row>
    <row r="5" spans="2:12" ht="27" customHeight="1" x14ac:dyDescent="0.3">
      <c r="B5" s="221" t="s">
        <v>275</v>
      </c>
      <c r="C5" s="340" t="s">
        <v>276</v>
      </c>
      <c r="D5" s="221"/>
      <c r="E5" s="221"/>
      <c r="F5" s="221"/>
      <c r="G5" s="221"/>
    </row>
    <row r="6" spans="2:12" ht="17.399999999999999" customHeight="1" thickBot="1" x14ac:dyDescent="0.35">
      <c r="F6" s="76" t="s">
        <v>54</v>
      </c>
      <c r="G6" s="77">
        <v>44707</v>
      </c>
    </row>
    <row r="7" spans="2:12" x14ac:dyDescent="0.3">
      <c r="B7" s="78" t="s">
        <v>55</v>
      </c>
      <c r="C7" s="78" t="s">
        <v>56</v>
      </c>
      <c r="D7" s="78" t="s">
        <v>57</v>
      </c>
      <c r="E7" s="78" t="s">
        <v>58</v>
      </c>
      <c r="F7" s="79" t="s">
        <v>59</v>
      </c>
      <c r="G7" s="79" t="s">
        <v>21</v>
      </c>
    </row>
    <row r="8" spans="2:12" s="302" customFormat="1" ht="17.100000000000001" customHeight="1" x14ac:dyDescent="0.3">
      <c r="B8" s="278">
        <v>1.01</v>
      </c>
      <c r="C8" s="279" t="s">
        <v>101</v>
      </c>
      <c r="D8" s="280"/>
      <c r="E8" s="281"/>
      <c r="F8" s="282"/>
      <c r="G8" s="283">
        <f>SUM(G9:G11)</f>
        <v>139924.99998999998</v>
      </c>
      <c r="K8" s="302" t="s">
        <v>290</v>
      </c>
      <c r="L8" s="302" t="s">
        <v>289</v>
      </c>
    </row>
    <row r="9" spans="2:12" s="302" customFormat="1" ht="17.100000000000001" customHeight="1" x14ac:dyDescent="0.3">
      <c r="B9" s="284">
        <v>36892</v>
      </c>
      <c r="C9" s="303" t="s">
        <v>102</v>
      </c>
      <c r="D9" s="304" t="s">
        <v>33</v>
      </c>
      <c r="E9" s="305">
        <v>1</v>
      </c>
      <c r="F9" s="306">
        <f>[4]PRESUPUESTO!$F$8</f>
        <v>2800</v>
      </c>
      <c r="G9" s="285">
        <f>F9*E9</f>
        <v>2800</v>
      </c>
      <c r="K9" s="302" t="s">
        <v>291</v>
      </c>
      <c r="L9" s="302">
        <v>22</v>
      </c>
    </row>
    <row r="10" spans="2:12" s="302" customFormat="1" ht="17.100000000000001" customHeight="1" x14ac:dyDescent="0.3">
      <c r="B10" s="284">
        <v>37257</v>
      </c>
      <c r="C10" s="303" t="s">
        <v>79</v>
      </c>
      <c r="D10" s="304" t="s">
        <v>18</v>
      </c>
      <c r="E10" s="305">
        <v>1</v>
      </c>
      <c r="F10" s="306">
        <f>[4]PRESUPUESTO!$F$9</f>
        <v>49999.999989999997</v>
      </c>
      <c r="G10" s="285">
        <f t="shared" ref="G10:G11" si="0">F10*E10</f>
        <v>49999.999989999997</v>
      </c>
    </row>
    <row r="11" spans="2:12" s="302" customFormat="1" ht="17.100000000000001" customHeight="1" x14ac:dyDescent="0.3">
      <c r="B11" s="284">
        <v>37622</v>
      </c>
      <c r="C11" s="303" t="s">
        <v>103</v>
      </c>
      <c r="D11" s="304" t="s">
        <v>17</v>
      </c>
      <c r="E11" s="305">
        <v>1</v>
      </c>
      <c r="F11" s="307">
        <f>[4]PRESUPUESTO!$F$10</f>
        <v>87125</v>
      </c>
      <c r="G11" s="285">
        <f t="shared" si="0"/>
        <v>87125</v>
      </c>
    </row>
    <row r="12" spans="2:12" s="302" customFormat="1" ht="17.100000000000001" customHeight="1" x14ac:dyDescent="0.3">
      <c r="B12" s="278">
        <v>1.02</v>
      </c>
      <c r="C12" s="279" t="s">
        <v>104</v>
      </c>
      <c r="D12" s="280"/>
      <c r="E12" s="308"/>
      <c r="F12" s="309"/>
      <c r="G12" s="286">
        <f>SUM(G13:G14)</f>
        <v>115000</v>
      </c>
    </row>
    <row r="13" spans="2:12" s="302" customFormat="1" ht="17.100000000000001" customHeight="1" x14ac:dyDescent="0.3">
      <c r="B13" s="284">
        <v>36893</v>
      </c>
      <c r="C13" s="303" t="s">
        <v>67</v>
      </c>
      <c r="D13" s="304" t="s">
        <v>18</v>
      </c>
      <c r="E13" s="305">
        <v>1</v>
      </c>
      <c r="F13" s="306">
        <f>[4]PRESUPUESTO!$F$12</f>
        <v>72000</v>
      </c>
      <c r="G13" s="285">
        <f t="shared" ref="G13:G14" si="1">F13*E13</f>
        <v>72000</v>
      </c>
    </row>
    <row r="14" spans="2:12" s="302" customFormat="1" ht="17.100000000000001" customHeight="1" x14ac:dyDescent="0.3">
      <c r="B14" s="287">
        <v>37258</v>
      </c>
      <c r="C14" s="303" t="s">
        <v>105</v>
      </c>
      <c r="D14" s="310" t="s">
        <v>17</v>
      </c>
      <c r="E14" s="311">
        <v>1</v>
      </c>
      <c r="F14" s="306">
        <f>[4]PRESUPUESTO!$F$13</f>
        <v>43000</v>
      </c>
      <c r="G14" s="285">
        <f t="shared" si="1"/>
        <v>43000</v>
      </c>
    </row>
    <row r="15" spans="2:12" s="302" customFormat="1" ht="17.100000000000001" customHeight="1" x14ac:dyDescent="0.3">
      <c r="B15" s="271">
        <v>1.03</v>
      </c>
      <c r="C15" s="272" t="s">
        <v>70</v>
      </c>
      <c r="D15" s="312"/>
      <c r="E15" s="313"/>
      <c r="F15" s="306"/>
      <c r="G15" s="288">
        <f>G16+G19+G24</f>
        <v>249190.95179205763</v>
      </c>
    </row>
    <row r="16" spans="2:12" s="302" customFormat="1" ht="17.100000000000001" customHeight="1" x14ac:dyDescent="0.3">
      <c r="B16" s="314" t="s">
        <v>106</v>
      </c>
      <c r="C16" s="315" t="s">
        <v>107</v>
      </c>
      <c r="D16" s="312"/>
      <c r="E16" s="316"/>
      <c r="F16" s="306"/>
      <c r="G16" s="288">
        <f>SUM(G17:G18)</f>
        <v>217762.45411330508</v>
      </c>
    </row>
    <row r="17" spans="2:7" s="302" customFormat="1" ht="17.100000000000001" customHeight="1" x14ac:dyDescent="0.3">
      <c r="B17" s="317" t="s">
        <v>108</v>
      </c>
      <c r="C17" s="303" t="s">
        <v>69</v>
      </c>
      <c r="D17" s="312" t="s">
        <v>15</v>
      </c>
      <c r="E17" s="316">
        <v>1407</v>
      </c>
      <c r="F17" s="306">
        <f>[4]PRESUPUESTO!$F$16</f>
        <v>13.64236625235405</v>
      </c>
      <c r="G17" s="285">
        <f t="shared" ref="G17:G18" si="2">F17*E17</f>
        <v>19194.809317062147</v>
      </c>
    </row>
    <row r="18" spans="2:7" s="302" customFormat="1" ht="17.100000000000001" customHeight="1" x14ac:dyDescent="0.3">
      <c r="B18" s="317" t="s">
        <v>109</v>
      </c>
      <c r="C18" s="303" t="s">
        <v>70</v>
      </c>
      <c r="D18" s="312" t="s">
        <v>68</v>
      </c>
      <c r="E18" s="316">
        <v>4.6900000000000004</v>
      </c>
      <c r="F18" s="307">
        <f>[4]PRESUPUESTO!$F$17</f>
        <v>42338.517014124292</v>
      </c>
      <c r="G18" s="285">
        <f t="shared" si="2"/>
        <v>198567.64479624294</v>
      </c>
    </row>
    <row r="19" spans="2:7" s="302" customFormat="1" ht="17.100000000000001" customHeight="1" x14ac:dyDescent="0.3">
      <c r="B19" s="314" t="s">
        <v>110</v>
      </c>
      <c r="C19" s="315" t="s">
        <v>111</v>
      </c>
      <c r="D19" s="312"/>
      <c r="E19" s="316"/>
      <c r="F19" s="306"/>
      <c r="G19" s="289">
        <f>SUM(G20:G23)</f>
        <v>26982.435363019209</v>
      </c>
    </row>
    <row r="20" spans="2:7" s="302" customFormat="1" ht="17.100000000000001" customHeight="1" x14ac:dyDescent="0.3">
      <c r="B20" s="317" t="s">
        <v>112</v>
      </c>
      <c r="C20" s="303" t="s">
        <v>71</v>
      </c>
      <c r="D20" s="312" t="s">
        <v>72</v>
      </c>
      <c r="E20" s="316">
        <v>0.12</v>
      </c>
      <c r="F20" s="306">
        <f>[4]PRESUPUESTO!$F$19</f>
        <v>2782.7079593220342</v>
      </c>
      <c r="G20" s="285">
        <f t="shared" ref="G20:G26" si="3">F20*E20</f>
        <v>333.92495511864411</v>
      </c>
    </row>
    <row r="21" spans="2:7" s="302" customFormat="1" ht="17.100000000000001" customHeight="1" x14ac:dyDescent="0.3">
      <c r="B21" s="317" t="s">
        <v>113</v>
      </c>
      <c r="C21" s="303" t="s">
        <v>73</v>
      </c>
      <c r="D21" s="312" t="s">
        <v>74</v>
      </c>
      <c r="E21" s="316">
        <v>8.4</v>
      </c>
      <c r="F21" s="306">
        <f>[4]PRESUPUESTO!$F$20</f>
        <v>1722.2306033898305</v>
      </c>
      <c r="G21" s="285">
        <f t="shared" si="3"/>
        <v>14466.737068474577</v>
      </c>
    </row>
    <row r="22" spans="2:7" s="302" customFormat="1" ht="17.100000000000001" customHeight="1" x14ac:dyDescent="0.3">
      <c r="B22" s="317" t="s">
        <v>114</v>
      </c>
      <c r="C22" s="303" t="s">
        <v>75</v>
      </c>
      <c r="D22" s="312" t="s">
        <v>74</v>
      </c>
      <c r="E22" s="316">
        <v>7.4</v>
      </c>
      <c r="F22" s="306">
        <f>[4]PRESUPUESTO!$F$21</f>
        <v>1596.1180507118645</v>
      </c>
      <c r="G22" s="285">
        <f t="shared" si="3"/>
        <v>11811.273575267798</v>
      </c>
    </row>
    <row r="23" spans="2:7" s="302" customFormat="1" ht="17.100000000000001" customHeight="1" x14ac:dyDescent="0.3">
      <c r="B23" s="317" t="s">
        <v>115</v>
      </c>
      <c r="C23" s="303" t="s">
        <v>76</v>
      </c>
      <c r="D23" s="312" t="s">
        <v>33</v>
      </c>
      <c r="E23" s="316">
        <v>1</v>
      </c>
      <c r="F23" s="306">
        <f>[4]PRESUPUESTO!$F$22</f>
        <v>370.49976415819208</v>
      </c>
      <c r="G23" s="285">
        <f t="shared" si="3"/>
        <v>370.49976415819208</v>
      </c>
    </row>
    <row r="24" spans="2:7" s="302" customFormat="1" ht="17.100000000000001" customHeight="1" x14ac:dyDescent="0.3">
      <c r="B24" s="314" t="s">
        <v>116</v>
      </c>
      <c r="C24" s="315" t="s">
        <v>117</v>
      </c>
      <c r="D24" s="312"/>
      <c r="E24" s="316"/>
      <c r="F24" s="306"/>
      <c r="G24" s="289">
        <f>SUM(G25:G26)</f>
        <v>4446.0623157333339</v>
      </c>
    </row>
    <row r="25" spans="2:7" s="302" customFormat="1" ht="17.100000000000001" customHeight="1" x14ac:dyDescent="0.3">
      <c r="B25" s="317" t="s">
        <v>118</v>
      </c>
      <c r="C25" s="303" t="s">
        <v>77</v>
      </c>
      <c r="D25" s="312" t="s">
        <v>72</v>
      </c>
      <c r="E25" s="316">
        <v>3.54</v>
      </c>
      <c r="F25" s="306">
        <f>[4]PRESUPUESTO!$F$24</f>
        <v>541.22856000000002</v>
      </c>
      <c r="G25" s="285">
        <f t="shared" si="3"/>
        <v>1915.9491024000001</v>
      </c>
    </row>
    <row r="26" spans="2:7" s="302" customFormat="1" ht="17.100000000000001" customHeight="1" x14ac:dyDescent="0.3">
      <c r="B26" s="317" t="s">
        <v>119</v>
      </c>
      <c r="C26" s="303" t="s">
        <v>78</v>
      </c>
      <c r="D26" s="312" t="s">
        <v>15</v>
      </c>
      <c r="E26" s="316">
        <v>27.8</v>
      </c>
      <c r="F26" s="306">
        <f>[4]PRESUPUESTO!$F$25</f>
        <v>91.011266666666671</v>
      </c>
      <c r="G26" s="285">
        <f t="shared" si="3"/>
        <v>2530.1132133333335</v>
      </c>
    </row>
    <row r="27" spans="2:7" s="302" customFormat="1" ht="17.100000000000001" customHeight="1" x14ac:dyDescent="0.3">
      <c r="B27" s="271">
        <v>1.04</v>
      </c>
      <c r="C27" s="272" t="s">
        <v>120</v>
      </c>
      <c r="D27" s="318"/>
      <c r="E27" s="319"/>
      <c r="F27" s="306"/>
      <c r="G27" s="289">
        <f>G28+G37+G46</f>
        <v>254603.51034541172</v>
      </c>
    </row>
    <row r="28" spans="2:7" s="302" customFormat="1" ht="17.100000000000001" customHeight="1" x14ac:dyDescent="0.3">
      <c r="B28" s="314" t="s">
        <v>121</v>
      </c>
      <c r="C28" s="315" t="s">
        <v>122</v>
      </c>
      <c r="D28" s="318"/>
      <c r="E28" s="313"/>
      <c r="F28" s="306"/>
      <c r="G28" s="288">
        <f>SUM(G29:G36)</f>
        <v>123052.35795346317</v>
      </c>
    </row>
    <row r="29" spans="2:7" s="302" customFormat="1" ht="17.100000000000001" customHeight="1" x14ac:dyDescent="0.3">
      <c r="B29" s="320" t="s">
        <v>123</v>
      </c>
      <c r="C29" s="303" t="s">
        <v>80</v>
      </c>
      <c r="D29" s="321" t="s">
        <v>15</v>
      </c>
      <c r="E29" s="313">
        <v>1947</v>
      </c>
      <c r="F29" s="306">
        <f>[4]PRESUPUESTO!$F$28</f>
        <v>5.284345755932204</v>
      </c>
      <c r="G29" s="285">
        <f t="shared" ref="G29:G36" si="4">F29*E29</f>
        <v>10288.621186800001</v>
      </c>
    </row>
    <row r="30" spans="2:7" s="302" customFormat="1" ht="17.100000000000001" customHeight="1" x14ac:dyDescent="0.3">
      <c r="B30" s="320" t="s">
        <v>124</v>
      </c>
      <c r="C30" s="303" t="s">
        <v>81</v>
      </c>
      <c r="D30" s="321" t="s">
        <v>72</v>
      </c>
      <c r="E30" s="313">
        <v>613.78</v>
      </c>
      <c r="F30" s="306">
        <f>[4]PRESUPUESTO!$F$29</f>
        <v>7.0343928357473038</v>
      </c>
      <c r="G30" s="285">
        <f t="shared" si="4"/>
        <v>4317.5696347249796</v>
      </c>
    </row>
    <row r="31" spans="2:7" s="302" customFormat="1" ht="17.100000000000001" customHeight="1" x14ac:dyDescent="0.3">
      <c r="B31" s="320" t="s">
        <v>125</v>
      </c>
      <c r="C31" s="303" t="s">
        <v>66</v>
      </c>
      <c r="D31" s="321" t="s">
        <v>15</v>
      </c>
      <c r="E31" s="313">
        <v>2026.4679999999998</v>
      </c>
      <c r="F31" s="306">
        <f>[4]PRESUPUESTO!$F$30</f>
        <v>2.8450376908474579</v>
      </c>
      <c r="G31" s="285">
        <f t="shared" si="4"/>
        <v>5765.3778392962658</v>
      </c>
    </row>
    <row r="32" spans="2:7" s="302" customFormat="1" ht="17.100000000000001" customHeight="1" x14ac:dyDescent="0.3">
      <c r="B32" s="322" t="s">
        <v>126</v>
      </c>
      <c r="C32" s="323" t="s">
        <v>82</v>
      </c>
      <c r="D32" s="324" t="s">
        <v>72</v>
      </c>
      <c r="E32" s="325">
        <v>823.96600000000001</v>
      </c>
      <c r="F32" s="307">
        <f>[4]PRESUPUESTO!$F$31</f>
        <v>30.024547207748185</v>
      </c>
      <c r="G32" s="290">
        <f t="shared" si="4"/>
        <v>24739.206064579441</v>
      </c>
    </row>
    <row r="33" spans="2:9" s="302" customFormat="1" ht="17.100000000000001" customHeight="1" x14ac:dyDescent="0.3">
      <c r="B33" s="320" t="s">
        <v>127</v>
      </c>
      <c r="C33" s="303" t="s">
        <v>83</v>
      </c>
      <c r="D33" s="321" t="s">
        <v>72</v>
      </c>
      <c r="E33" s="313">
        <v>190.43999999999997</v>
      </c>
      <c r="F33" s="306">
        <f>[4]PRESUPUESTO!$F$32</f>
        <v>37.530684009685231</v>
      </c>
      <c r="G33" s="285">
        <f t="shared" si="4"/>
        <v>7147.3434628044542</v>
      </c>
    </row>
    <row r="34" spans="2:9" s="302" customFormat="1" ht="17.100000000000001" customHeight="1" x14ac:dyDescent="0.3">
      <c r="B34" s="320" t="s">
        <v>128</v>
      </c>
      <c r="C34" s="303" t="s">
        <v>84</v>
      </c>
      <c r="D34" s="321" t="s">
        <v>15</v>
      </c>
      <c r="E34" s="313">
        <v>555.17660000000001</v>
      </c>
      <c r="F34" s="306">
        <f>[4]PRESUPUESTO!$F$33</f>
        <v>17.052432983050849</v>
      </c>
      <c r="G34" s="285">
        <f t="shared" si="4"/>
        <v>9467.1117652580288</v>
      </c>
    </row>
    <row r="35" spans="2:9" s="302" customFormat="1" ht="17.100000000000001" customHeight="1" x14ac:dyDescent="0.3">
      <c r="B35" s="320" t="s">
        <v>129</v>
      </c>
      <c r="C35" s="303" t="s">
        <v>85</v>
      </c>
      <c r="D35" s="321" t="s">
        <v>72</v>
      </c>
      <c r="E35" s="313">
        <v>506</v>
      </c>
      <c r="F35" s="306">
        <f>[4]PRESUPUESTO!$F$34</f>
        <v>88.2</v>
      </c>
      <c r="G35" s="285">
        <f t="shared" si="4"/>
        <v>44629.200000000004</v>
      </c>
      <c r="I35" s="326">
        <f>E35</f>
        <v>506</v>
      </c>
    </row>
    <row r="36" spans="2:9" s="302" customFormat="1" ht="17.100000000000001" customHeight="1" x14ac:dyDescent="0.3">
      <c r="B36" s="320" t="s">
        <v>130</v>
      </c>
      <c r="C36" s="327" t="s">
        <v>86</v>
      </c>
      <c r="D36" s="328" t="s">
        <v>72</v>
      </c>
      <c r="E36" s="329">
        <v>170.04000000000002</v>
      </c>
      <c r="F36" s="306">
        <f>[4]PRESUPUESTO!$F$35</f>
        <v>98.2</v>
      </c>
      <c r="G36" s="285">
        <f t="shared" si="4"/>
        <v>16697.928000000004</v>
      </c>
      <c r="I36" s="326">
        <f>E36</f>
        <v>170.04000000000002</v>
      </c>
    </row>
    <row r="37" spans="2:9" s="302" customFormat="1" ht="17.100000000000001" customHeight="1" x14ac:dyDescent="0.3">
      <c r="B37" s="314" t="s">
        <v>131</v>
      </c>
      <c r="C37" s="315" t="s">
        <v>132</v>
      </c>
      <c r="D37" s="318"/>
      <c r="E37" s="313"/>
      <c r="F37" s="306"/>
      <c r="G37" s="289">
        <f>SUM(G38:G45)</f>
        <v>35150.41589079034</v>
      </c>
    </row>
    <row r="38" spans="2:9" s="302" customFormat="1" ht="17.100000000000001" customHeight="1" x14ac:dyDescent="0.3">
      <c r="B38" s="320" t="s">
        <v>133</v>
      </c>
      <c r="C38" s="303" t="s">
        <v>80</v>
      </c>
      <c r="D38" s="321" t="s">
        <v>15</v>
      </c>
      <c r="E38" s="313">
        <v>512</v>
      </c>
      <c r="F38" s="306">
        <f>[4]PRESUPUESTO!$F$37</f>
        <v>5.284345755932204</v>
      </c>
      <c r="G38" s="285">
        <f t="shared" ref="G38:G76" si="5">F38*E38</f>
        <v>2705.5850270372885</v>
      </c>
    </row>
    <row r="39" spans="2:9" s="302" customFormat="1" ht="17.100000000000001" customHeight="1" x14ac:dyDescent="0.3">
      <c r="B39" s="320" t="s">
        <v>134</v>
      </c>
      <c r="C39" s="303" t="s">
        <v>81</v>
      </c>
      <c r="D39" s="321" t="s">
        <v>72</v>
      </c>
      <c r="E39" s="313">
        <v>190.63</v>
      </c>
      <c r="F39" s="306">
        <f>[4]PRESUPUESTO!$F$38</f>
        <v>7.0343928357473038</v>
      </c>
      <c r="G39" s="285">
        <f t="shared" si="5"/>
        <v>1340.9663062785085</v>
      </c>
    </row>
    <row r="40" spans="2:9" s="302" customFormat="1" ht="17.100000000000001" customHeight="1" x14ac:dyDescent="0.3">
      <c r="B40" s="320" t="s">
        <v>135</v>
      </c>
      <c r="C40" s="303" t="s">
        <v>66</v>
      </c>
      <c r="D40" s="321" t="s">
        <v>15</v>
      </c>
      <c r="E40" s="313">
        <v>550.48820999999998</v>
      </c>
      <c r="F40" s="306">
        <f>[4]PRESUPUESTO!$F$39</f>
        <v>2.8450376908474579</v>
      </c>
      <c r="G40" s="285">
        <f t="shared" si="5"/>
        <v>1566.1597058171506</v>
      </c>
    </row>
    <row r="41" spans="2:9" s="302" customFormat="1" ht="17.100000000000001" customHeight="1" x14ac:dyDescent="0.3">
      <c r="B41" s="322" t="s">
        <v>136</v>
      </c>
      <c r="C41" s="323" t="s">
        <v>82</v>
      </c>
      <c r="D41" s="324" t="s">
        <v>72</v>
      </c>
      <c r="E41" s="325">
        <v>206.76000000000002</v>
      </c>
      <c r="F41" s="307">
        <f>[4]PRESUPUESTO!$F$40</f>
        <v>30.024547207748185</v>
      </c>
      <c r="G41" s="290">
        <f t="shared" si="5"/>
        <v>6207.8753806740151</v>
      </c>
    </row>
    <row r="42" spans="2:9" s="302" customFormat="1" ht="17.100000000000001" customHeight="1" x14ac:dyDescent="0.3">
      <c r="B42" s="320" t="s">
        <v>137</v>
      </c>
      <c r="C42" s="303" t="s">
        <v>83</v>
      </c>
      <c r="D42" s="321" t="s">
        <v>72</v>
      </c>
      <c r="E42" s="313">
        <v>47.07</v>
      </c>
      <c r="F42" s="306">
        <f>[4]PRESUPUESTO!$F$41</f>
        <v>37.530684009685231</v>
      </c>
      <c r="G42" s="285">
        <f t="shared" si="5"/>
        <v>1766.5692963358838</v>
      </c>
    </row>
    <row r="43" spans="2:9" s="302" customFormat="1" ht="17.100000000000001" customHeight="1" x14ac:dyDescent="0.3">
      <c r="B43" s="320" t="s">
        <v>138</v>
      </c>
      <c r="C43" s="303" t="s">
        <v>84</v>
      </c>
      <c r="D43" s="321" t="s">
        <v>15</v>
      </c>
      <c r="E43" s="313">
        <v>157.6480598</v>
      </c>
      <c r="F43" s="306">
        <f>[4]PRESUPUESTO!$F$42</f>
        <v>17.052432983050849</v>
      </c>
      <c r="G43" s="285">
        <f t="shared" si="5"/>
        <v>2688.2829746474927</v>
      </c>
      <c r="I43" s="326">
        <f>E44</f>
        <v>125.072</v>
      </c>
    </row>
    <row r="44" spans="2:9" s="302" customFormat="1" ht="17.100000000000001" customHeight="1" x14ac:dyDescent="0.3">
      <c r="B44" s="320" t="s">
        <v>139</v>
      </c>
      <c r="C44" s="303" t="s">
        <v>85</v>
      </c>
      <c r="D44" s="321" t="s">
        <v>72</v>
      </c>
      <c r="E44" s="313">
        <v>125.072</v>
      </c>
      <c r="F44" s="306">
        <f>[4]PRESUPUESTO!$F$43</f>
        <v>88.2</v>
      </c>
      <c r="G44" s="285">
        <f t="shared" si="5"/>
        <v>11031.350400000001</v>
      </c>
      <c r="I44" s="326">
        <f>E45</f>
        <v>79.874000000000009</v>
      </c>
    </row>
    <row r="45" spans="2:9" s="302" customFormat="1" ht="17.100000000000001" customHeight="1" x14ac:dyDescent="0.3">
      <c r="B45" s="320" t="s">
        <v>140</v>
      </c>
      <c r="C45" s="303" t="s">
        <v>86</v>
      </c>
      <c r="D45" s="321" t="s">
        <v>72</v>
      </c>
      <c r="E45" s="313">
        <v>79.874000000000009</v>
      </c>
      <c r="F45" s="306">
        <f>[4]PRESUPUESTO!$F$44</f>
        <v>98.2</v>
      </c>
      <c r="G45" s="285">
        <f t="shared" si="5"/>
        <v>7843.6268000000009</v>
      </c>
    </row>
    <row r="46" spans="2:9" s="302" customFormat="1" ht="17.100000000000001" customHeight="1" x14ac:dyDescent="0.3">
      <c r="B46" s="314" t="s">
        <v>141</v>
      </c>
      <c r="C46" s="315" t="s">
        <v>142</v>
      </c>
      <c r="D46" s="318"/>
      <c r="E46" s="313"/>
      <c r="F46" s="306"/>
      <c r="G46" s="289">
        <f>SUM(G47:G53)</f>
        <v>96400.736501158215</v>
      </c>
    </row>
    <row r="47" spans="2:9" s="302" customFormat="1" ht="17.100000000000001" customHeight="1" x14ac:dyDescent="0.3">
      <c r="B47" s="320" t="s">
        <v>143</v>
      </c>
      <c r="C47" s="303" t="s">
        <v>80</v>
      </c>
      <c r="D47" s="321" t="s">
        <v>15</v>
      </c>
      <c r="E47" s="313">
        <v>1086</v>
      </c>
      <c r="F47" s="306">
        <f>[4]PRESUPUESTO!$F$46</f>
        <v>5.284345755932204</v>
      </c>
      <c r="G47" s="285">
        <f t="shared" si="5"/>
        <v>5738.7994909423733</v>
      </c>
    </row>
    <row r="48" spans="2:9" s="302" customFormat="1" ht="17.100000000000001" customHeight="1" x14ac:dyDescent="0.3">
      <c r="B48" s="320" t="s">
        <v>144</v>
      </c>
      <c r="C48" s="303" t="s">
        <v>81</v>
      </c>
      <c r="D48" s="321" t="s">
        <v>72</v>
      </c>
      <c r="E48" s="313">
        <v>603.51700000000005</v>
      </c>
      <c r="F48" s="306">
        <f>[4]PRESUPUESTO!$F$47</f>
        <v>7.0343928357473038</v>
      </c>
      <c r="G48" s="285">
        <f t="shared" si="5"/>
        <v>4245.3756610517057</v>
      </c>
    </row>
    <row r="49" spans="2:9" s="302" customFormat="1" ht="17.100000000000001" customHeight="1" x14ac:dyDescent="0.3">
      <c r="B49" s="320" t="s">
        <v>145</v>
      </c>
      <c r="C49" s="303" t="s">
        <v>66</v>
      </c>
      <c r="D49" s="321" t="s">
        <v>15</v>
      </c>
      <c r="E49" s="313">
        <v>929.7890625</v>
      </c>
      <c r="F49" s="306">
        <f>[4]PRESUPUESTO!$F$48</f>
        <v>2.8450376908474579</v>
      </c>
      <c r="G49" s="285">
        <f t="shared" si="5"/>
        <v>2645.2849273502229</v>
      </c>
    </row>
    <row r="50" spans="2:9" s="302" customFormat="1" ht="17.100000000000001" customHeight="1" x14ac:dyDescent="0.3">
      <c r="B50" s="320" t="s">
        <v>146</v>
      </c>
      <c r="C50" s="323" t="s">
        <v>87</v>
      </c>
      <c r="D50" s="321" t="s">
        <v>72</v>
      </c>
      <c r="E50" s="313">
        <v>165.458</v>
      </c>
      <c r="F50" s="306">
        <f>[4]PRESUPUESTO!$F$49</f>
        <v>28.293935186440677</v>
      </c>
      <c r="G50" s="285">
        <f t="shared" si="5"/>
        <v>4681.4579280781018</v>
      </c>
    </row>
    <row r="51" spans="2:9" s="302" customFormat="1" ht="17.100000000000001" customHeight="1" x14ac:dyDescent="0.3">
      <c r="B51" s="320" t="s">
        <v>147</v>
      </c>
      <c r="C51" s="303" t="s">
        <v>84</v>
      </c>
      <c r="D51" s="321" t="s">
        <v>15</v>
      </c>
      <c r="E51" s="313">
        <v>567.39419550000002</v>
      </c>
      <c r="F51" s="306">
        <f>[4]PRESUPUESTO!$F$50</f>
        <v>17.052432983050849</v>
      </c>
      <c r="G51" s="285">
        <f t="shared" si="5"/>
        <v>9675.4514937358017</v>
      </c>
    </row>
    <row r="52" spans="2:9" s="302" customFormat="1" ht="17.100000000000001" customHeight="1" x14ac:dyDescent="0.3">
      <c r="B52" s="320" t="s">
        <v>148</v>
      </c>
      <c r="C52" s="303" t="s">
        <v>85</v>
      </c>
      <c r="D52" s="321" t="s">
        <v>72</v>
      </c>
      <c r="E52" s="313">
        <v>403.28499999999997</v>
      </c>
      <c r="F52" s="306">
        <f>[4]PRESUPUESTO!$F$51</f>
        <v>88.2</v>
      </c>
      <c r="G52" s="285">
        <f t="shared" si="5"/>
        <v>35569.737000000001</v>
      </c>
      <c r="I52" s="326">
        <f>E52</f>
        <v>403.28499999999997</v>
      </c>
    </row>
    <row r="53" spans="2:9" s="302" customFormat="1" ht="17.100000000000001" customHeight="1" x14ac:dyDescent="0.3">
      <c r="B53" s="320" t="s">
        <v>149</v>
      </c>
      <c r="C53" s="303" t="s">
        <v>86</v>
      </c>
      <c r="D53" s="321" t="s">
        <v>72</v>
      </c>
      <c r="E53" s="313">
        <v>344.65</v>
      </c>
      <c r="F53" s="306">
        <f>[4]PRESUPUESTO!$F$52</f>
        <v>98.2</v>
      </c>
      <c r="G53" s="285">
        <f t="shared" si="5"/>
        <v>33844.629999999997</v>
      </c>
      <c r="I53" s="326">
        <f>E53</f>
        <v>344.65</v>
      </c>
    </row>
    <row r="54" spans="2:9" s="302" customFormat="1" ht="17.100000000000001" customHeight="1" x14ac:dyDescent="0.3">
      <c r="B54" s="273">
        <v>1.05</v>
      </c>
      <c r="C54" s="274" t="s">
        <v>150</v>
      </c>
      <c r="D54" s="321"/>
      <c r="E54" s="313"/>
      <c r="F54" s="306"/>
      <c r="G54" s="288">
        <f>SUM(G55:G58)</f>
        <v>27606.711622968218</v>
      </c>
    </row>
    <row r="55" spans="2:9" s="302" customFormat="1" ht="17.100000000000001" customHeight="1" x14ac:dyDescent="0.3">
      <c r="B55" s="320" t="s">
        <v>151</v>
      </c>
      <c r="C55" s="303" t="s">
        <v>80</v>
      </c>
      <c r="D55" s="321" t="s">
        <v>15</v>
      </c>
      <c r="E55" s="313">
        <v>1047.8</v>
      </c>
      <c r="F55" s="306">
        <f>[4]PRESUPUESTO!$F$54</f>
        <v>5.284345755932204</v>
      </c>
      <c r="G55" s="285">
        <f t="shared" si="5"/>
        <v>5536.9374830657634</v>
      </c>
    </row>
    <row r="56" spans="2:9" s="302" customFormat="1" ht="17.100000000000001" customHeight="1" x14ac:dyDescent="0.3">
      <c r="B56" s="320" t="s">
        <v>152</v>
      </c>
      <c r="C56" s="303" t="s">
        <v>88</v>
      </c>
      <c r="D56" s="321" t="s">
        <v>72</v>
      </c>
      <c r="E56" s="313">
        <v>486.06999999999994</v>
      </c>
      <c r="F56" s="309">
        <f>[4]PRESUPUESTO!$F$55</f>
        <v>7.0343928357473038</v>
      </c>
      <c r="G56" s="285">
        <f t="shared" si="5"/>
        <v>3419.2073256716917</v>
      </c>
    </row>
    <row r="57" spans="2:9" s="302" customFormat="1" ht="17.100000000000001" customHeight="1" x14ac:dyDescent="0.3">
      <c r="B57" s="320" t="s">
        <v>153</v>
      </c>
      <c r="C57" s="303" t="s">
        <v>66</v>
      </c>
      <c r="D57" s="321" t="s">
        <v>15</v>
      </c>
      <c r="E57" s="313">
        <v>1245.4862500000002</v>
      </c>
      <c r="F57" s="306">
        <f>[4]PRESUPUESTO!$F$56</f>
        <v>2.8450376908474579</v>
      </c>
      <c r="G57" s="285">
        <f t="shared" si="5"/>
        <v>3543.4553246822602</v>
      </c>
    </row>
    <row r="58" spans="2:9" s="302" customFormat="1" ht="17.100000000000001" customHeight="1" x14ac:dyDescent="0.3">
      <c r="B58" s="320" t="s">
        <v>154</v>
      </c>
      <c r="C58" s="323" t="s">
        <v>89</v>
      </c>
      <c r="D58" s="321" t="s">
        <v>72</v>
      </c>
      <c r="E58" s="313">
        <v>243.03</v>
      </c>
      <c r="F58" s="306">
        <f>[4]PRESUPUESTO!$F$57</f>
        <v>62.161508824213072</v>
      </c>
      <c r="G58" s="285">
        <f t="shared" si="5"/>
        <v>15107.111489548503</v>
      </c>
    </row>
    <row r="59" spans="2:9" s="302" customFormat="1" ht="17.100000000000001" customHeight="1" x14ac:dyDescent="0.3">
      <c r="B59" s="273">
        <v>1.06</v>
      </c>
      <c r="C59" s="274" t="s">
        <v>155</v>
      </c>
      <c r="D59" s="318"/>
      <c r="E59" s="313"/>
      <c r="F59" s="306"/>
      <c r="G59" s="288">
        <f>SUM(G60:G63)</f>
        <v>58263.845201697994</v>
      </c>
    </row>
    <row r="60" spans="2:9" s="302" customFormat="1" ht="17.100000000000001" customHeight="1" x14ac:dyDescent="0.3">
      <c r="B60" s="320" t="s">
        <v>156</v>
      </c>
      <c r="C60" s="303" t="s">
        <v>80</v>
      </c>
      <c r="D60" s="321" t="s">
        <v>15</v>
      </c>
      <c r="E60" s="313">
        <v>560.83000000000004</v>
      </c>
      <c r="F60" s="306">
        <f>[4]PRESUPUESTO!$F$59</f>
        <v>5.0337525355932211</v>
      </c>
      <c r="G60" s="285">
        <f t="shared" si="5"/>
        <v>2823.0794345367462</v>
      </c>
    </row>
    <row r="61" spans="2:9" s="302" customFormat="1" ht="17.100000000000001" customHeight="1" x14ac:dyDescent="0.3">
      <c r="B61" s="320" t="s">
        <v>157</v>
      </c>
      <c r="C61" s="303" t="s">
        <v>88</v>
      </c>
      <c r="D61" s="321" t="s">
        <v>72</v>
      </c>
      <c r="E61" s="313">
        <v>564.04999999999995</v>
      </c>
      <c r="F61" s="306">
        <f>[4]PRESUPUESTO!$F$60</f>
        <v>7.0343928357473038</v>
      </c>
      <c r="G61" s="285">
        <f t="shared" si="5"/>
        <v>3967.7492790032666</v>
      </c>
    </row>
    <row r="62" spans="2:9" s="302" customFormat="1" ht="17.100000000000001" customHeight="1" x14ac:dyDescent="0.3">
      <c r="B62" s="320" t="s">
        <v>158</v>
      </c>
      <c r="C62" s="303" t="s">
        <v>90</v>
      </c>
      <c r="D62" s="321" t="s">
        <v>15</v>
      </c>
      <c r="E62" s="313">
        <v>560.83000000000004</v>
      </c>
      <c r="F62" s="306">
        <f>[4]PRESUPUESTO!$F$61</f>
        <v>2.8450376908474579</v>
      </c>
      <c r="G62" s="285">
        <f t="shared" si="5"/>
        <v>1595.5824881579799</v>
      </c>
    </row>
    <row r="63" spans="2:9" s="302" customFormat="1" ht="17.100000000000001" customHeight="1" x14ac:dyDescent="0.3">
      <c r="B63" s="320" t="s">
        <v>159</v>
      </c>
      <c r="C63" s="303" t="s">
        <v>91</v>
      </c>
      <c r="D63" s="321" t="s">
        <v>72</v>
      </c>
      <c r="E63" s="313">
        <v>540.97</v>
      </c>
      <c r="F63" s="306">
        <f>[4]PRESUPUESTO!$F$62</f>
        <v>92.2</v>
      </c>
      <c r="G63" s="285">
        <f t="shared" si="5"/>
        <v>49877.434000000001</v>
      </c>
      <c r="I63" s="326">
        <f>E63</f>
        <v>540.97</v>
      </c>
    </row>
    <row r="64" spans="2:9" s="302" customFormat="1" ht="17.100000000000001" customHeight="1" x14ac:dyDescent="0.3">
      <c r="B64" s="273">
        <v>1.07</v>
      </c>
      <c r="C64" s="274" t="s">
        <v>160</v>
      </c>
      <c r="D64" s="318"/>
      <c r="E64" s="313"/>
      <c r="F64" s="309"/>
      <c r="G64" s="286">
        <f>SUM(G65:G70)</f>
        <v>167269.71522534854</v>
      </c>
      <c r="I64" s="326">
        <f>SUM(I35:I63)</f>
        <v>2169.8909999999996</v>
      </c>
    </row>
    <row r="65" spans="2:7" s="302" customFormat="1" ht="17.100000000000001" customHeight="1" x14ac:dyDescent="0.3">
      <c r="B65" s="320" t="s">
        <v>161</v>
      </c>
      <c r="C65" s="303" t="s">
        <v>92</v>
      </c>
      <c r="D65" s="321" t="s">
        <v>93</v>
      </c>
      <c r="E65" s="313">
        <v>453.58003680000002</v>
      </c>
      <c r="F65" s="306">
        <f>[4]PRESUPUESTO!$F$64</f>
        <v>6.8109189920903965</v>
      </c>
      <c r="G65" s="285">
        <f t="shared" si="5"/>
        <v>3089.2968870741811</v>
      </c>
    </row>
    <row r="66" spans="2:7" s="302" customFormat="1" ht="17.100000000000001" customHeight="1" x14ac:dyDescent="0.3">
      <c r="B66" s="320" t="s">
        <v>162</v>
      </c>
      <c r="C66" s="303" t="s">
        <v>94</v>
      </c>
      <c r="D66" s="321" t="s">
        <v>93</v>
      </c>
      <c r="E66" s="313">
        <v>2193.1027199999999</v>
      </c>
      <c r="F66" s="306">
        <f>[4]PRESUPUESTO!$F$65</f>
        <v>3.2801030508474578</v>
      </c>
      <c r="G66" s="285">
        <f t="shared" si="5"/>
        <v>7193.6029226938572</v>
      </c>
    </row>
    <row r="67" spans="2:7" s="302" customFormat="1" ht="17.100000000000001" customHeight="1" x14ac:dyDescent="0.3">
      <c r="B67" s="320" t="s">
        <v>163</v>
      </c>
      <c r="C67" s="303" t="s">
        <v>95</v>
      </c>
      <c r="D67" s="321" t="s">
        <v>93</v>
      </c>
      <c r="E67" s="313">
        <v>1909.5031999999999</v>
      </c>
      <c r="F67" s="306">
        <f>[4]PRESUPUESTO!$F$66</f>
        <v>10.216378488135595</v>
      </c>
      <c r="G67" s="285">
        <f t="shared" si="5"/>
        <v>19508.20741550608</v>
      </c>
    </row>
    <row r="68" spans="2:7" s="302" customFormat="1" ht="17.100000000000001" customHeight="1" x14ac:dyDescent="0.3">
      <c r="B68" s="320" t="s">
        <v>164</v>
      </c>
      <c r="C68" s="303" t="s">
        <v>96</v>
      </c>
      <c r="D68" s="321" t="s">
        <v>93</v>
      </c>
      <c r="E68" s="313">
        <v>36454.152000000002</v>
      </c>
      <c r="F68" s="309">
        <f>[4]PRESUPUESTO!$F$67</f>
        <v>3.6445589453860641</v>
      </c>
      <c r="G68" s="285">
        <f t="shared" si="5"/>
        <v>132859.30576806329</v>
      </c>
    </row>
    <row r="69" spans="2:7" s="302" customFormat="1" ht="17.100000000000001" customHeight="1" x14ac:dyDescent="0.3">
      <c r="B69" s="320" t="s">
        <v>165</v>
      </c>
      <c r="C69" s="303" t="s">
        <v>97</v>
      </c>
      <c r="D69" s="321" t="s">
        <v>93</v>
      </c>
      <c r="E69" s="313">
        <v>216.30813600000002</v>
      </c>
      <c r="F69" s="306">
        <f>[4]PRESUPUESTO!$F$68</f>
        <v>6.8109189920903965</v>
      </c>
      <c r="G69" s="285">
        <f t="shared" si="5"/>
        <v>1473.2571916260727</v>
      </c>
    </row>
    <row r="70" spans="2:7" s="302" customFormat="1" ht="17.100000000000001" customHeight="1" x14ac:dyDescent="0.3">
      <c r="B70" s="320" t="s">
        <v>166</v>
      </c>
      <c r="C70" s="303" t="s">
        <v>98</v>
      </c>
      <c r="D70" s="321" t="s">
        <v>93</v>
      </c>
      <c r="E70" s="313">
        <v>959.12993940000013</v>
      </c>
      <c r="F70" s="306">
        <f>[4]PRESUPUESTO!$F$69</f>
        <v>3.2801030508474578</v>
      </c>
      <c r="G70" s="285">
        <f t="shared" si="5"/>
        <v>3146.0450403850778</v>
      </c>
    </row>
    <row r="71" spans="2:7" s="302" customFormat="1" ht="17.100000000000001" customHeight="1" x14ac:dyDescent="0.3">
      <c r="B71" s="273">
        <v>1.08</v>
      </c>
      <c r="C71" s="274" t="s">
        <v>167</v>
      </c>
      <c r="D71" s="330"/>
      <c r="E71" s="313"/>
      <c r="F71" s="306"/>
      <c r="G71" s="288">
        <f>SUM(G72:G73)</f>
        <v>5433.4723375732028</v>
      </c>
    </row>
    <row r="72" spans="2:7" s="302" customFormat="1" ht="17.100000000000001" customHeight="1" x14ac:dyDescent="0.3">
      <c r="B72" s="320" t="s">
        <v>168</v>
      </c>
      <c r="C72" s="303" t="s">
        <v>99</v>
      </c>
      <c r="D72" s="330" t="s">
        <v>72</v>
      </c>
      <c r="E72" s="313">
        <v>245.80470000000003</v>
      </c>
      <c r="F72" s="306">
        <f>[4]PRESUPUESTO!$F$71</f>
        <v>5.2465101323507746</v>
      </c>
      <c r="G72" s="285">
        <f t="shared" si="5"/>
        <v>1289.6168491294425</v>
      </c>
    </row>
    <row r="73" spans="2:7" s="302" customFormat="1" ht="17.100000000000001" customHeight="1" x14ac:dyDescent="0.3">
      <c r="B73" s="320" t="s">
        <v>169</v>
      </c>
      <c r="C73" s="303" t="s">
        <v>100</v>
      </c>
      <c r="D73" s="330" t="s">
        <v>15</v>
      </c>
      <c r="E73" s="313">
        <v>1000</v>
      </c>
      <c r="F73" s="306">
        <f>[4]PRESUPUESTO!$F$72</f>
        <v>4.1438554884437595</v>
      </c>
      <c r="G73" s="285">
        <f t="shared" si="5"/>
        <v>4143.8554884437599</v>
      </c>
    </row>
    <row r="74" spans="2:7" s="302" customFormat="1" ht="17.100000000000001" customHeight="1" x14ac:dyDescent="0.3">
      <c r="B74" s="275" t="s">
        <v>20</v>
      </c>
      <c r="C74" s="274" t="s">
        <v>60</v>
      </c>
      <c r="D74" s="312"/>
      <c r="E74" s="316"/>
      <c r="F74" s="309"/>
      <c r="G74" s="286">
        <f>SUM(G75:G76)</f>
        <v>35384.600000000006</v>
      </c>
    </row>
    <row r="75" spans="2:7" s="302" customFormat="1" ht="17.100000000000001" customHeight="1" x14ac:dyDescent="0.3">
      <c r="B75" s="331" t="s">
        <v>170</v>
      </c>
      <c r="C75" s="303" t="s">
        <v>60</v>
      </c>
      <c r="D75" s="312" t="s">
        <v>18</v>
      </c>
      <c r="E75" s="316">
        <v>1</v>
      </c>
      <c r="F75" s="332">
        <f>[4]PRESUPUESTO!$F$74</f>
        <v>20423.600000000002</v>
      </c>
      <c r="G75" s="285">
        <f t="shared" si="5"/>
        <v>20423.600000000002</v>
      </c>
    </row>
    <row r="76" spans="2:7" s="302" customFormat="1" ht="21.75" customHeight="1" x14ac:dyDescent="0.3">
      <c r="B76" s="331" t="s">
        <v>171</v>
      </c>
      <c r="C76" s="303" t="s">
        <v>61</v>
      </c>
      <c r="D76" s="312" t="s">
        <v>18</v>
      </c>
      <c r="E76" s="316">
        <v>1</v>
      </c>
      <c r="F76" s="332">
        <f>[4]PRESUPUESTO!$F$75</f>
        <v>14961</v>
      </c>
      <c r="G76" s="285">
        <f t="shared" si="5"/>
        <v>14961</v>
      </c>
    </row>
    <row r="77" spans="2:7" s="302" customFormat="1" ht="6.75" customHeight="1" x14ac:dyDescent="0.3">
      <c r="B77" s="333"/>
      <c r="C77" s="334"/>
      <c r="D77" s="334"/>
      <c r="E77" s="335"/>
      <c r="F77" s="335"/>
      <c r="G77" s="336"/>
    </row>
    <row r="78" spans="2:7" s="302" customFormat="1" ht="13.8" x14ac:dyDescent="0.3">
      <c r="B78" s="337"/>
      <c r="C78" s="291" t="s">
        <v>1</v>
      </c>
      <c r="D78" s="291"/>
      <c r="E78" s="292"/>
      <c r="F78" s="292"/>
      <c r="G78" s="338">
        <f>G74+G71+G64+G59+G54+G27+G15+G12+G8</f>
        <v>1052677.8065150573</v>
      </c>
    </row>
    <row r="79" spans="2:7" s="302" customFormat="1" ht="13.8" x14ac:dyDescent="0.3">
      <c r="B79" s="337"/>
      <c r="C79" s="293" t="s">
        <v>62</v>
      </c>
      <c r="D79" s="294">
        <f>'GG Y UTLIDAD'!G26</f>
        <v>0.1</v>
      </c>
      <c r="E79" s="295"/>
      <c r="F79" s="295"/>
      <c r="G79" s="296">
        <f>'GG Y UTLIDAD'!F26</f>
        <v>105267.78065150575</v>
      </c>
    </row>
    <row r="80" spans="2:7" s="302" customFormat="1" ht="13.8" x14ac:dyDescent="0.3">
      <c r="B80" s="337"/>
      <c r="C80" s="293" t="s">
        <v>63</v>
      </c>
      <c r="D80" s="294">
        <f>'GG Y UTLIDAD'!G24</f>
        <v>0.40377573999999999</v>
      </c>
      <c r="E80" s="295"/>
      <c r="F80" s="295"/>
      <c r="G80" s="296">
        <f>'GG Y UTLIDAD'!F24</f>
        <v>425045.7624666667</v>
      </c>
    </row>
    <row r="81" spans="2:7" s="302" customFormat="1" ht="13.8" x14ac:dyDescent="0.3">
      <c r="B81" s="337"/>
      <c r="C81" s="291" t="s">
        <v>21</v>
      </c>
      <c r="D81" s="297"/>
      <c r="E81" s="292"/>
      <c r="F81" s="292"/>
      <c r="G81" s="298">
        <f>SUM(G78:G80)</f>
        <v>1582991.3496332299</v>
      </c>
    </row>
    <row r="82" spans="2:7" s="302" customFormat="1" ht="13.8" x14ac:dyDescent="0.3">
      <c r="B82" s="337"/>
      <c r="C82" s="293" t="s">
        <v>64</v>
      </c>
      <c r="D82" s="294">
        <v>0.18</v>
      </c>
      <c r="E82" s="295"/>
      <c r="F82" s="295"/>
      <c r="G82" s="296">
        <f>G81*D82</f>
        <v>284938.44293398137</v>
      </c>
    </row>
    <row r="83" spans="2:7" s="302" customFormat="1" ht="13.8" x14ac:dyDescent="0.3">
      <c r="B83" s="339"/>
      <c r="C83" s="299" t="s">
        <v>16</v>
      </c>
      <c r="D83" s="299"/>
      <c r="E83" s="300"/>
      <c r="F83" s="300"/>
      <c r="G83" s="301">
        <f>SUM(G81:G82)</f>
        <v>1867929.7925672112</v>
      </c>
    </row>
    <row r="84" spans="2:7" s="270" customFormat="1" ht="13.8" x14ac:dyDescent="0.25">
      <c r="D84" s="276"/>
      <c r="E84" s="277"/>
      <c r="F84" s="277"/>
    </row>
  </sheetData>
  <mergeCells count="1">
    <mergeCell ref="B3:G3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43"/>
  <sheetViews>
    <sheetView showGridLines="0" view="pageBreakPreview" topLeftCell="A2" zoomScale="85" zoomScaleNormal="90" zoomScaleSheetLayoutView="85" workbookViewId="0">
      <pane xSplit="5" ySplit="10" topLeftCell="F18" activePane="bottomRight" state="frozen"/>
      <selection activeCell="H13" sqref="H13"/>
      <selection pane="topRight" activeCell="H13" sqref="H13"/>
      <selection pane="bottomLeft" activeCell="H13" sqref="H13"/>
      <selection pane="bottomRight" activeCell="G28" sqref="G28"/>
    </sheetView>
  </sheetViews>
  <sheetFormatPr baseColWidth="10" defaultRowHeight="13.2" x14ac:dyDescent="0.25"/>
  <cols>
    <col min="1" max="1" width="6.5546875" style="25" customWidth="1"/>
    <col min="2" max="2" width="6.33203125" style="25" customWidth="1"/>
    <col min="3" max="3" width="14.33203125" style="25" customWidth="1"/>
    <col min="4" max="4" width="10.6640625" style="25" customWidth="1"/>
    <col min="5" max="5" width="24.109375" style="25" customWidth="1"/>
    <col min="6" max="6" width="25.5546875" style="25" customWidth="1"/>
    <col min="7" max="7" width="18.5546875" style="25" customWidth="1"/>
    <col min="8" max="8" width="9.44140625" style="25" customWidth="1"/>
    <col min="9" max="9" width="11.6640625" style="25" customWidth="1"/>
    <col min="10" max="10" width="19" style="25" customWidth="1"/>
    <col min="11" max="11" width="16.6640625" style="25" customWidth="1"/>
    <col min="12" max="12" width="16.6640625" style="25" bestFit="1" customWidth="1"/>
    <col min="13" max="13" width="17.44140625" style="25" bestFit="1" customWidth="1"/>
    <col min="14" max="256" width="11.44140625" style="25"/>
    <col min="257" max="258" width="5.6640625" style="25" customWidth="1"/>
    <col min="259" max="259" width="14.33203125" style="25" customWidth="1"/>
    <col min="260" max="260" width="10.6640625" style="25" customWidth="1"/>
    <col min="261" max="261" width="24.109375" style="25" customWidth="1"/>
    <col min="262" max="262" width="25.5546875" style="25" customWidth="1"/>
    <col min="263" max="263" width="18.5546875" style="25" customWidth="1"/>
    <col min="264" max="264" width="12.109375" style="25" bestFit="1" customWidth="1"/>
    <col min="265" max="265" width="17.44140625" style="25" customWidth="1"/>
    <col min="266" max="266" width="11.44140625" style="25"/>
    <col min="267" max="267" width="13.88671875" style="25" customWidth="1"/>
    <col min="268" max="512" width="11.44140625" style="25"/>
    <col min="513" max="514" width="5.6640625" style="25" customWidth="1"/>
    <col min="515" max="515" width="14.33203125" style="25" customWidth="1"/>
    <col min="516" max="516" width="10.6640625" style="25" customWidth="1"/>
    <col min="517" max="517" width="24.109375" style="25" customWidth="1"/>
    <col min="518" max="518" width="25.5546875" style="25" customWidth="1"/>
    <col min="519" max="519" width="18.5546875" style="25" customWidth="1"/>
    <col min="520" max="520" width="12.109375" style="25" bestFit="1" customWidth="1"/>
    <col min="521" max="521" width="17.44140625" style="25" customWidth="1"/>
    <col min="522" max="522" width="11.44140625" style="25"/>
    <col min="523" max="523" width="13.88671875" style="25" customWidth="1"/>
    <col min="524" max="768" width="11.44140625" style="25"/>
    <col min="769" max="770" width="5.6640625" style="25" customWidth="1"/>
    <col min="771" max="771" width="14.33203125" style="25" customWidth="1"/>
    <col min="772" max="772" width="10.6640625" style="25" customWidth="1"/>
    <col min="773" max="773" width="24.109375" style="25" customWidth="1"/>
    <col min="774" max="774" width="25.5546875" style="25" customWidth="1"/>
    <col min="775" max="775" width="18.5546875" style="25" customWidth="1"/>
    <col min="776" max="776" width="12.109375" style="25" bestFit="1" customWidth="1"/>
    <col min="777" max="777" width="17.44140625" style="25" customWidth="1"/>
    <col min="778" max="778" width="11.44140625" style="25"/>
    <col min="779" max="779" width="13.88671875" style="25" customWidth="1"/>
    <col min="780" max="1024" width="11.44140625" style="25"/>
    <col min="1025" max="1026" width="5.6640625" style="25" customWidth="1"/>
    <col min="1027" max="1027" width="14.33203125" style="25" customWidth="1"/>
    <col min="1028" max="1028" width="10.6640625" style="25" customWidth="1"/>
    <col min="1029" max="1029" width="24.109375" style="25" customWidth="1"/>
    <col min="1030" max="1030" width="25.5546875" style="25" customWidth="1"/>
    <col min="1031" max="1031" width="18.5546875" style="25" customWidth="1"/>
    <col min="1032" max="1032" width="12.109375" style="25" bestFit="1" customWidth="1"/>
    <col min="1033" max="1033" width="17.44140625" style="25" customWidth="1"/>
    <col min="1034" max="1034" width="11.44140625" style="25"/>
    <col min="1035" max="1035" width="13.88671875" style="25" customWidth="1"/>
    <col min="1036" max="1280" width="11.44140625" style="25"/>
    <col min="1281" max="1282" width="5.6640625" style="25" customWidth="1"/>
    <col min="1283" max="1283" width="14.33203125" style="25" customWidth="1"/>
    <col min="1284" max="1284" width="10.6640625" style="25" customWidth="1"/>
    <col min="1285" max="1285" width="24.109375" style="25" customWidth="1"/>
    <col min="1286" max="1286" width="25.5546875" style="25" customWidth="1"/>
    <col min="1287" max="1287" width="18.5546875" style="25" customWidth="1"/>
    <col min="1288" max="1288" width="12.109375" style="25" bestFit="1" customWidth="1"/>
    <col min="1289" max="1289" width="17.44140625" style="25" customWidth="1"/>
    <col min="1290" max="1290" width="11.44140625" style="25"/>
    <col min="1291" max="1291" width="13.88671875" style="25" customWidth="1"/>
    <col min="1292" max="1536" width="11.44140625" style="25"/>
    <col min="1537" max="1538" width="5.6640625" style="25" customWidth="1"/>
    <col min="1539" max="1539" width="14.33203125" style="25" customWidth="1"/>
    <col min="1540" max="1540" width="10.6640625" style="25" customWidth="1"/>
    <col min="1541" max="1541" width="24.109375" style="25" customWidth="1"/>
    <col min="1542" max="1542" width="25.5546875" style="25" customWidth="1"/>
    <col min="1543" max="1543" width="18.5546875" style="25" customWidth="1"/>
    <col min="1544" max="1544" width="12.109375" style="25" bestFit="1" customWidth="1"/>
    <col min="1545" max="1545" width="17.44140625" style="25" customWidth="1"/>
    <col min="1546" max="1546" width="11.44140625" style="25"/>
    <col min="1547" max="1547" width="13.88671875" style="25" customWidth="1"/>
    <col min="1548" max="1792" width="11.44140625" style="25"/>
    <col min="1793" max="1794" width="5.6640625" style="25" customWidth="1"/>
    <col min="1795" max="1795" width="14.33203125" style="25" customWidth="1"/>
    <col min="1796" max="1796" width="10.6640625" style="25" customWidth="1"/>
    <col min="1797" max="1797" width="24.109375" style="25" customWidth="1"/>
    <col min="1798" max="1798" width="25.5546875" style="25" customWidth="1"/>
    <col min="1799" max="1799" width="18.5546875" style="25" customWidth="1"/>
    <col min="1800" max="1800" width="12.109375" style="25" bestFit="1" customWidth="1"/>
    <col min="1801" max="1801" width="17.44140625" style="25" customWidth="1"/>
    <col min="1802" max="1802" width="11.44140625" style="25"/>
    <col min="1803" max="1803" width="13.88671875" style="25" customWidth="1"/>
    <col min="1804" max="2048" width="11.44140625" style="25"/>
    <col min="2049" max="2050" width="5.6640625" style="25" customWidth="1"/>
    <col min="2051" max="2051" width="14.33203125" style="25" customWidth="1"/>
    <col min="2052" max="2052" width="10.6640625" style="25" customWidth="1"/>
    <col min="2053" max="2053" width="24.109375" style="25" customWidth="1"/>
    <col min="2054" max="2054" width="25.5546875" style="25" customWidth="1"/>
    <col min="2055" max="2055" width="18.5546875" style="25" customWidth="1"/>
    <col min="2056" max="2056" width="12.109375" style="25" bestFit="1" customWidth="1"/>
    <col min="2057" max="2057" width="17.44140625" style="25" customWidth="1"/>
    <col min="2058" max="2058" width="11.44140625" style="25"/>
    <col min="2059" max="2059" width="13.88671875" style="25" customWidth="1"/>
    <col min="2060" max="2304" width="11.44140625" style="25"/>
    <col min="2305" max="2306" width="5.6640625" style="25" customWidth="1"/>
    <col min="2307" max="2307" width="14.33203125" style="25" customWidth="1"/>
    <col min="2308" max="2308" width="10.6640625" style="25" customWidth="1"/>
    <col min="2309" max="2309" width="24.109375" style="25" customWidth="1"/>
    <col min="2310" max="2310" width="25.5546875" style="25" customWidth="1"/>
    <col min="2311" max="2311" width="18.5546875" style="25" customWidth="1"/>
    <col min="2312" max="2312" width="12.109375" style="25" bestFit="1" customWidth="1"/>
    <col min="2313" max="2313" width="17.44140625" style="25" customWidth="1"/>
    <col min="2314" max="2314" width="11.44140625" style="25"/>
    <col min="2315" max="2315" width="13.88671875" style="25" customWidth="1"/>
    <col min="2316" max="2560" width="11.44140625" style="25"/>
    <col min="2561" max="2562" width="5.6640625" style="25" customWidth="1"/>
    <col min="2563" max="2563" width="14.33203125" style="25" customWidth="1"/>
    <col min="2564" max="2564" width="10.6640625" style="25" customWidth="1"/>
    <col min="2565" max="2565" width="24.109375" style="25" customWidth="1"/>
    <col min="2566" max="2566" width="25.5546875" style="25" customWidth="1"/>
    <col min="2567" max="2567" width="18.5546875" style="25" customWidth="1"/>
    <col min="2568" max="2568" width="12.109375" style="25" bestFit="1" customWidth="1"/>
    <col min="2569" max="2569" width="17.44140625" style="25" customWidth="1"/>
    <col min="2570" max="2570" width="11.44140625" style="25"/>
    <col min="2571" max="2571" width="13.88671875" style="25" customWidth="1"/>
    <col min="2572" max="2816" width="11.44140625" style="25"/>
    <col min="2817" max="2818" width="5.6640625" style="25" customWidth="1"/>
    <col min="2819" max="2819" width="14.33203125" style="25" customWidth="1"/>
    <col min="2820" max="2820" width="10.6640625" style="25" customWidth="1"/>
    <col min="2821" max="2821" width="24.109375" style="25" customWidth="1"/>
    <col min="2822" max="2822" width="25.5546875" style="25" customWidth="1"/>
    <col min="2823" max="2823" width="18.5546875" style="25" customWidth="1"/>
    <col min="2824" max="2824" width="12.109375" style="25" bestFit="1" customWidth="1"/>
    <col min="2825" max="2825" width="17.44140625" style="25" customWidth="1"/>
    <col min="2826" max="2826" width="11.44140625" style="25"/>
    <col min="2827" max="2827" width="13.88671875" style="25" customWidth="1"/>
    <col min="2828" max="3072" width="11.44140625" style="25"/>
    <col min="3073" max="3074" width="5.6640625" style="25" customWidth="1"/>
    <col min="3075" max="3075" width="14.33203125" style="25" customWidth="1"/>
    <col min="3076" max="3076" width="10.6640625" style="25" customWidth="1"/>
    <col min="3077" max="3077" width="24.109375" style="25" customWidth="1"/>
    <col min="3078" max="3078" width="25.5546875" style="25" customWidth="1"/>
    <col min="3079" max="3079" width="18.5546875" style="25" customWidth="1"/>
    <col min="3080" max="3080" width="12.109375" style="25" bestFit="1" customWidth="1"/>
    <col min="3081" max="3081" width="17.44140625" style="25" customWidth="1"/>
    <col min="3082" max="3082" width="11.44140625" style="25"/>
    <col min="3083" max="3083" width="13.88671875" style="25" customWidth="1"/>
    <col min="3084" max="3328" width="11.44140625" style="25"/>
    <col min="3329" max="3330" width="5.6640625" style="25" customWidth="1"/>
    <col min="3331" max="3331" width="14.33203125" style="25" customWidth="1"/>
    <col min="3332" max="3332" width="10.6640625" style="25" customWidth="1"/>
    <col min="3333" max="3333" width="24.109375" style="25" customWidth="1"/>
    <col min="3334" max="3334" width="25.5546875" style="25" customWidth="1"/>
    <col min="3335" max="3335" width="18.5546875" style="25" customWidth="1"/>
    <col min="3336" max="3336" width="12.109375" style="25" bestFit="1" customWidth="1"/>
    <col min="3337" max="3337" width="17.44140625" style="25" customWidth="1"/>
    <col min="3338" max="3338" width="11.44140625" style="25"/>
    <col min="3339" max="3339" width="13.88671875" style="25" customWidth="1"/>
    <col min="3340" max="3584" width="11.44140625" style="25"/>
    <col min="3585" max="3586" width="5.6640625" style="25" customWidth="1"/>
    <col min="3587" max="3587" width="14.33203125" style="25" customWidth="1"/>
    <col min="3588" max="3588" width="10.6640625" style="25" customWidth="1"/>
    <col min="3589" max="3589" width="24.109375" style="25" customWidth="1"/>
    <col min="3590" max="3590" width="25.5546875" style="25" customWidth="1"/>
    <col min="3591" max="3591" width="18.5546875" style="25" customWidth="1"/>
    <col min="3592" max="3592" width="12.109375" style="25" bestFit="1" customWidth="1"/>
    <col min="3593" max="3593" width="17.44140625" style="25" customWidth="1"/>
    <col min="3594" max="3594" width="11.44140625" style="25"/>
    <col min="3595" max="3595" width="13.88671875" style="25" customWidth="1"/>
    <col min="3596" max="3840" width="11.44140625" style="25"/>
    <col min="3841" max="3842" width="5.6640625" style="25" customWidth="1"/>
    <col min="3843" max="3843" width="14.33203125" style="25" customWidth="1"/>
    <col min="3844" max="3844" width="10.6640625" style="25" customWidth="1"/>
    <col min="3845" max="3845" width="24.109375" style="25" customWidth="1"/>
    <col min="3846" max="3846" width="25.5546875" style="25" customWidth="1"/>
    <col min="3847" max="3847" width="18.5546875" style="25" customWidth="1"/>
    <col min="3848" max="3848" width="12.109375" style="25" bestFit="1" customWidth="1"/>
    <col min="3849" max="3849" width="17.44140625" style="25" customWidth="1"/>
    <col min="3850" max="3850" width="11.44140625" style="25"/>
    <col min="3851" max="3851" width="13.88671875" style="25" customWidth="1"/>
    <col min="3852" max="4096" width="11.44140625" style="25"/>
    <col min="4097" max="4098" width="5.6640625" style="25" customWidth="1"/>
    <col min="4099" max="4099" width="14.33203125" style="25" customWidth="1"/>
    <col min="4100" max="4100" width="10.6640625" style="25" customWidth="1"/>
    <col min="4101" max="4101" width="24.109375" style="25" customWidth="1"/>
    <col min="4102" max="4102" width="25.5546875" style="25" customWidth="1"/>
    <col min="4103" max="4103" width="18.5546875" style="25" customWidth="1"/>
    <col min="4104" max="4104" width="12.109375" style="25" bestFit="1" customWidth="1"/>
    <col min="4105" max="4105" width="17.44140625" style="25" customWidth="1"/>
    <col min="4106" max="4106" width="11.44140625" style="25"/>
    <col min="4107" max="4107" width="13.88671875" style="25" customWidth="1"/>
    <col min="4108" max="4352" width="11.44140625" style="25"/>
    <col min="4353" max="4354" width="5.6640625" style="25" customWidth="1"/>
    <col min="4355" max="4355" width="14.33203125" style="25" customWidth="1"/>
    <col min="4356" max="4356" width="10.6640625" style="25" customWidth="1"/>
    <col min="4357" max="4357" width="24.109375" style="25" customWidth="1"/>
    <col min="4358" max="4358" width="25.5546875" style="25" customWidth="1"/>
    <col min="4359" max="4359" width="18.5546875" style="25" customWidth="1"/>
    <col min="4360" max="4360" width="12.109375" style="25" bestFit="1" customWidth="1"/>
    <col min="4361" max="4361" width="17.44140625" style="25" customWidth="1"/>
    <col min="4362" max="4362" width="11.44140625" style="25"/>
    <col min="4363" max="4363" width="13.88671875" style="25" customWidth="1"/>
    <col min="4364" max="4608" width="11.44140625" style="25"/>
    <col min="4609" max="4610" width="5.6640625" style="25" customWidth="1"/>
    <col min="4611" max="4611" width="14.33203125" style="25" customWidth="1"/>
    <col min="4612" max="4612" width="10.6640625" style="25" customWidth="1"/>
    <col min="4613" max="4613" width="24.109375" style="25" customWidth="1"/>
    <col min="4614" max="4614" width="25.5546875" style="25" customWidth="1"/>
    <col min="4615" max="4615" width="18.5546875" style="25" customWidth="1"/>
    <col min="4616" max="4616" width="12.109375" style="25" bestFit="1" customWidth="1"/>
    <col min="4617" max="4617" width="17.44140625" style="25" customWidth="1"/>
    <col min="4618" max="4618" width="11.44140625" style="25"/>
    <col min="4619" max="4619" width="13.88671875" style="25" customWidth="1"/>
    <col min="4620" max="4864" width="11.44140625" style="25"/>
    <col min="4865" max="4866" width="5.6640625" style="25" customWidth="1"/>
    <col min="4867" max="4867" width="14.33203125" style="25" customWidth="1"/>
    <col min="4868" max="4868" width="10.6640625" style="25" customWidth="1"/>
    <col min="4869" max="4869" width="24.109375" style="25" customWidth="1"/>
    <col min="4870" max="4870" width="25.5546875" style="25" customWidth="1"/>
    <col min="4871" max="4871" width="18.5546875" style="25" customWidth="1"/>
    <col min="4872" max="4872" width="12.109375" style="25" bestFit="1" customWidth="1"/>
    <col min="4873" max="4873" width="17.44140625" style="25" customWidth="1"/>
    <col min="4874" max="4874" width="11.44140625" style="25"/>
    <col min="4875" max="4875" width="13.88671875" style="25" customWidth="1"/>
    <col min="4876" max="5120" width="11.44140625" style="25"/>
    <col min="5121" max="5122" width="5.6640625" style="25" customWidth="1"/>
    <col min="5123" max="5123" width="14.33203125" style="25" customWidth="1"/>
    <col min="5124" max="5124" width="10.6640625" style="25" customWidth="1"/>
    <col min="5125" max="5125" width="24.109375" style="25" customWidth="1"/>
    <col min="5126" max="5126" width="25.5546875" style="25" customWidth="1"/>
    <col min="5127" max="5127" width="18.5546875" style="25" customWidth="1"/>
    <col min="5128" max="5128" width="12.109375" style="25" bestFit="1" customWidth="1"/>
    <col min="5129" max="5129" width="17.44140625" style="25" customWidth="1"/>
    <col min="5130" max="5130" width="11.44140625" style="25"/>
    <col min="5131" max="5131" width="13.88671875" style="25" customWidth="1"/>
    <col min="5132" max="5376" width="11.44140625" style="25"/>
    <col min="5377" max="5378" width="5.6640625" style="25" customWidth="1"/>
    <col min="5379" max="5379" width="14.33203125" style="25" customWidth="1"/>
    <col min="5380" max="5380" width="10.6640625" style="25" customWidth="1"/>
    <col min="5381" max="5381" width="24.109375" style="25" customWidth="1"/>
    <col min="5382" max="5382" width="25.5546875" style="25" customWidth="1"/>
    <col min="5383" max="5383" width="18.5546875" style="25" customWidth="1"/>
    <col min="5384" max="5384" width="12.109375" style="25" bestFit="1" customWidth="1"/>
    <col min="5385" max="5385" width="17.44140625" style="25" customWidth="1"/>
    <col min="5386" max="5386" width="11.44140625" style="25"/>
    <col min="5387" max="5387" width="13.88671875" style="25" customWidth="1"/>
    <col min="5388" max="5632" width="11.44140625" style="25"/>
    <col min="5633" max="5634" width="5.6640625" style="25" customWidth="1"/>
    <col min="5635" max="5635" width="14.33203125" style="25" customWidth="1"/>
    <col min="5636" max="5636" width="10.6640625" style="25" customWidth="1"/>
    <col min="5637" max="5637" width="24.109375" style="25" customWidth="1"/>
    <col min="5638" max="5638" width="25.5546875" style="25" customWidth="1"/>
    <col min="5639" max="5639" width="18.5546875" style="25" customWidth="1"/>
    <col min="5640" max="5640" width="12.109375" style="25" bestFit="1" customWidth="1"/>
    <col min="5641" max="5641" width="17.44140625" style="25" customWidth="1"/>
    <col min="5642" max="5642" width="11.44140625" style="25"/>
    <col min="5643" max="5643" width="13.88671875" style="25" customWidth="1"/>
    <col min="5644" max="5888" width="11.44140625" style="25"/>
    <col min="5889" max="5890" width="5.6640625" style="25" customWidth="1"/>
    <col min="5891" max="5891" width="14.33203125" style="25" customWidth="1"/>
    <col min="5892" max="5892" width="10.6640625" style="25" customWidth="1"/>
    <col min="5893" max="5893" width="24.109375" style="25" customWidth="1"/>
    <col min="5894" max="5894" width="25.5546875" style="25" customWidth="1"/>
    <col min="5895" max="5895" width="18.5546875" style="25" customWidth="1"/>
    <col min="5896" max="5896" width="12.109375" style="25" bestFit="1" customWidth="1"/>
    <col min="5897" max="5897" width="17.44140625" style="25" customWidth="1"/>
    <col min="5898" max="5898" width="11.44140625" style="25"/>
    <col min="5899" max="5899" width="13.88671875" style="25" customWidth="1"/>
    <col min="5900" max="6144" width="11.44140625" style="25"/>
    <col min="6145" max="6146" width="5.6640625" style="25" customWidth="1"/>
    <col min="6147" max="6147" width="14.33203125" style="25" customWidth="1"/>
    <col min="6148" max="6148" width="10.6640625" style="25" customWidth="1"/>
    <col min="6149" max="6149" width="24.109375" style="25" customWidth="1"/>
    <col min="6150" max="6150" width="25.5546875" style="25" customWidth="1"/>
    <col min="6151" max="6151" width="18.5546875" style="25" customWidth="1"/>
    <col min="6152" max="6152" width="12.109375" style="25" bestFit="1" customWidth="1"/>
    <col min="6153" max="6153" width="17.44140625" style="25" customWidth="1"/>
    <col min="6154" max="6154" width="11.44140625" style="25"/>
    <col min="6155" max="6155" width="13.88671875" style="25" customWidth="1"/>
    <col min="6156" max="6400" width="11.44140625" style="25"/>
    <col min="6401" max="6402" width="5.6640625" style="25" customWidth="1"/>
    <col min="6403" max="6403" width="14.33203125" style="25" customWidth="1"/>
    <col min="6404" max="6404" width="10.6640625" style="25" customWidth="1"/>
    <col min="6405" max="6405" width="24.109375" style="25" customWidth="1"/>
    <col min="6406" max="6406" width="25.5546875" style="25" customWidth="1"/>
    <col min="6407" max="6407" width="18.5546875" style="25" customWidth="1"/>
    <col min="6408" max="6408" width="12.109375" style="25" bestFit="1" customWidth="1"/>
    <col min="6409" max="6409" width="17.44140625" style="25" customWidth="1"/>
    <col min="6410" max="6410" width="11.44140625" style="25"/>
    <col min="6411" max="6411" width="13.88671875" style="25" customWidth="1"/>
    <col min="6412" max="6656" width="11.44140625" style="25"/>
    <col min="6657" max="6658" width="5.6640625" style="25" customWidth="1"/>
    <col min="6659" max="6659" width="14.33203125" style="25" customWidth="1"/>
    <col min="6660" max="6660" width="10.6640625" style="25" customWidth="1"/>
    <col min="6661" max="6661" width="24.109375" style="25" customWidth="1"/>
    <col min="6662" max="6662" width="25.5546875" style="25" customWidth="1"/>
    <col min="6663" max="6663" width="18.5546875" style="25" customWidth="1"/>
    <col min="6664" max="6664" width="12.109375" style="25" bestFit="1" customWidth="1"/>
    <col min="6665" max="6665" width="17.44140625" style="25" customWidth="1"/>
    <col min="6666" max="6666" width="11.44140625" style="25"/>
    <col min="6667" max="6667" width="13.88671875" style="25" customWidth="1"/>
    <col min="6668" max="6912" width="11.44140625" style="25"/>
    <col min="6913" max="6914" width="5.6640625" style="25" customWidth="1"/>
    <col min="6915" max="6915" width="14.33203125" style="25" customWidth="1"/>
    <col min="6916" max="6916" width="10.6640625" style="25" customWidth="1"/>
    <col min="6917" max="6917" width="24.109375" style="25" customWidth="1"/>
    <col min="6918" max="6918" width="25.5546875" style="25" customWidth="1"/>
    <col min="6919" max="6919" width="18.5546875" style="25" customWidth="1"/>
    <col min="6920" max="6920" width="12.109375" style="25" bestFit="1" customWidth="1"/>
    <col min="6921" max="6921" width="17.44140625" style="25" customWidth="1"/>
    <col min="6922" max="6922" width="11.44140625" style="25"/>
    <col min="6923" max="6923" width="13.88671875" style="25" customWidth="1"/>
    <col min="6924" max="7168" width="11.44140625" style="25"/>
    <col min="7169" max="7170" width="5.6640625" style="25" customWidth="1"/>
    <col min="7171" max="7171" width="14.33203125" style="25" customWidth="1"/>
    <col min="7172" max="7172" width="10.6640625" style="25" customWidth="1"/>
    <col min="7173" max="7173" width="24.109375" style="25" customWidth="1"/>
    <col min="7174" max="7174" width="25.5546875" style="25" customWidth="1"/>
    <col min="7175" max="7175" width="18.5546875" style="25" customWidth="1"/>
    <col min="7176" max="7176" width="12.109375" style="25" bestFit="1" customWidth="1"/>
    <col min="7177" max="7177" width="17.44140625" style="25" customWidth="1"/>
    <col min="7178" max="7178" width="11.44140625" style="25"/>
    <col min="7179" max="7179" width="13.88671875" style="25" customWidth="1"/>
    <col min="7180" max="7424" width="11.44140625" style="25"/>
    <col min="7425" max="7426" width="5.6640625" style="25" customWidth="1"/>
    <col min="7427" max="7427" width="14.33203125" style="25" customWidth="1"/>
    <col min="7428" max="7428" width="10.6640625" style="25" customWidth="1"/>
    <col min="7429" max="7429" width="24.109375" style="25" customWidth="1"/>
    <col min="7430" max="7430" width="25.5546875" style="25" customWidth="1"/>
    <col min="7431" max="7431" width="18.5546875" style="25" customWidth="1"/>
    <col min="7432" max="7432" width="12.109375" style="25" bestFit="1" customWidth="1"/>
    <col min="7433" max="7433" width="17.44140625" style="25" customWidth="1"/>
    <col min="7434" max="7434" width="11.44140625" style="25"/>
    <col min="7435" max="7435" width="13.88671875" style="25" customWidth="1"/>
    <col min="7436" max="7680" width="11.44140625" style="25"/>
    <col min="7681" max="7682" width="5.6640625" style="25" customWidth="1"/>
    <col min="7683" max="7683" width="14.33203125" style="25" customWidth="1"/>
    <col min="7684" max="7684" width="10.6640625" style="25" customWidth="1"/>
    <col min="7685" max="7685" width="24.109375" style="25" customWidth="1"/>
    <col min="7686" max="7686" width="25.5546875" style="25" customWidth="1"/>
    <col min="7687" max="7687" width="18.5546875" style="25" customWidth="1"/>
    <col min="7688" max="7688" width="12.109375" style="25" bestFit="1" customWidth="1"/>
    <col min="7689" max="7689" width="17.44140625" style="25" customWidth="1"/>
    <col min="7690" max="7690" width="11.44140625" style="25"/>
    <col min="7691" max="7691" width="13.88671875" style="25" customWidth="1"/>
    <col min="7692" max="7936" width="11.44140625" style="25"/>
    <col min="7937" max="7938" width="5.6640625" style="25" customWidth="1"/>
    <col min="7939" max="7939" width="14.33203125" style="25" customWidth="1"/>
    <col min="7940" max="7940" width="10.6640625" style="25" customWidth="1"/>
    <col min="7941" max="7941" width="24.109375" style="25" customWidth="1"/>
    <col min="7942" max="7942" width="25.5546875" style="25" customWidth="1"/>
    <col min="7943" max="7943" width="18.5546875" style="25" customWidth="1"/>
    <col min="7944" max="7944" width="12.109375" style="25" bestFit="1" customWidth="1"/>
    <col min="7945" max="7945" width="17.44140625" style="25" customWidth="1"/>
    <col min="7946" max="7946" width="11.44140625" style="25"/>
    <col min="7947" max="7947" width="13.88671875" style="25" customWidth="1"/>
    <col min="7948" max="8192" width="11.44140625" style="25"/>
    <col min="8193" max="8194" width="5.6640625" style="25" customWidth="1"/>
    <col min="8195" max="8195" width="14.33203125" style="25" customWidth="1"/>
    <col min="8196" max="8196" width="10.6640625" style="25" customWidth="1"/>
    <col min="8197" max="8197" width="24.109375" style="25" customWidth="1"/>
    <col min="8198" max="8198" width="25.5546875" style="25" customWidth="1"/>
    <col min="8199" max="8199" width="18.5546875" style="25" customWidth="1"/>
    <col min="8200" max="8200" width="12.109375" style="25" bestFit="1" customWidth="1"/>
    <col min="8201" max="8201" width="17.44140625" style="25" customWidth="1"/>
    <col min="8202" max="8202" width="11.44140625" style="25"/>
    <col min="8203" max="8203" width="13.88671875" style="25" customWidth="1"/>
    <col min="8204" max="8448" width="11.44140625" style="25"/>
    <col min="8449" max="8450" width="5.6640625" style="25" customWidth="1"/>
    <col min="8451" max="8451" width="14.33203125" style="25" customWidth="1"/>
    <col min="8452" max="8452" width="10.6640625" style="25" customWidth="1"/>
    <col min="8453" max="8453" width="24.109375" style="25" customWidth="1"/>
    <col min="8454" max="8454" width="25.5546875" style="25" customWidth="1"/>
    <col min="8455" max="8455" width="18.5546875" style="25" customWidth="1"/>
    <col min="8456" max="8456" width="12.109375" style="25" bestFit="1" customWidth="1"/>
    <col min="8457" max="8457" width="17.44140625" style="25" customWidth="1"/>
    <col min="8458" max="8458" width="11.44140625" style="25"/>
    <col min="8459" max="8459" width="13.88671875" style="25" customWidth="1"/>
    <col min="8460" max="8704" width="11.44140625" style="25"/>
    <col min="8705" max="8706" width="5.6640625" style="25" customWidth="1"/>
    <col min="8707" max="8707" width="14.33203125" style="25" customWidth="1"/>
    <col min="8708" max="8708" width="10.6640625" style="25" customWidth="1"/>
    <col min="8709" max="8709" width="24.109375" style="25" customWidth="1"/>
    <col min="8710" max="8710" width="25.5546875" style="25" customWidth="1"/>
    <col min="8711" max="8711" width="18.5546875" style="25" customWidth="1"/>
    <col min="8712" max="8712" width="12.109375" style="25" bestFit="1" customWidth="1"/>
    <col min="8713" max="8713" width="17.44140625" style="25" customWidth="1"/>
    <col min="8714" max="8714" width="11.44140625" style="25"/>
    <col min="8715" max="8715" width="13.88671875" style="25" customWidth="1"/>
    <col min="8716" max="8960" width="11.44140625" style="25"/>
    <col min="8961" max="8962" width="5.6640625" style="25" customWidth="1"/>
    <col min="8963" max="8963" width="14.33203125" style="25" customWidth="1"/>
    <col min="8964" max="8964" width="10.6640625" style="25" customWidth="1"/>
    <col min="8965" max="8965" width="24.109375" style="25" customWidth="1"/>
    <col min="8966" max="8966" width="25.5546875" style="25" customWidth="1"/>
    <col min="8967" max="8967" width="18.5546875" style="25" customWidth="1"/>
    <col min="8968" max="8968" width="12.109375" style="25" bestFit="1" customWidth="1"/>
    <col min="8969" max="8969" width="17.44140625" style="25" customWidth="1"/>
    <col min="8970" max="8970" width="11.44140625" style="25"/>
    <col min="8971" max="8971" width="13.88671875" style="25" customWidth="1"/>
    <col min="8972" max="9216" width="11.44140625" style="25"/>
    <col min="9217" max="9218" width="5.6640625" style="25" customWidth="1"/>
    <col min="9219" max="9219" width="14.33203125" style="25" customWidth="1"/>
    <col min="9220" max="9220" width="10.6640625" style="25" customWidth="1"/>
    <col min="9221" max="9221" width="24.109375" style="25" customWidth="1"/>
    <col min="9222" max="9222" width="25.5546875" style="25" customWidth="1"/>
    <col min="9223" max="9223" width="18.5546875" style="25" customWidth="1"/>
    <col min="9224" max="9224" width="12.109375" style="25" bestFit="1" customWidth="1"/>
    <col min="9225" max="9225" width="17.44140625" style="25" customWidth="1"/>
    <col min="9226" max="9226" width="11.44140625" style="25"/>
    <col min="9227" max="9227" width="13.88671875" style="25" customWidth="1"/>
    <col min="9228" max="9472" width="11.44140625" style="25"/>
    <col min="9473" max="9474" width="5.6640625" style="25" customWidth="1"/>
    <col min="9475" max="9475" width="14.33203125" style="25" customWidth="1"/>
    <col min="9476" max="9476" width="10.6640625" style="25" customWidth="1"/>
    <col min="9477" max="9477" width="24.109375" style="25" customWidth="1"/>
    <col min="9478" max="9478" width="25.5546875" style="25" customWidth="1"/>
    <col min="9479" max="9479" width="18.5546875" style="25" customWidth="1"/>
    <col min="9480" max="9480" width="12.109375" style="25" bestFit="1" customWidth="1"/>
    <col min="9481" max="9481" width="17.44140625" style="25" customWidth="1"/>
    <col min="9482" max="9482" width="11.44140625" style="25"/>
    <col min="9483" max="9483" width="13.88671875" style="25" customWidth="1"/>
    <col min="9484" max="9728" width="11.44140625" style="25"/>
    <col min="9729" max="9730" width="5.6640625" style="25" customWidth="1"/>
    <col min="9731" max="9731" width="14.33203125" style="25" customWidth="1"/>
    <col min="9732" max="9732" width="10.6640625" style="25" customWidth="1"/>
    <col min="9733" max="9733" width="24.109375" style="25" customWidth="1"/>
    <col min="9734" max="9734" width="25.5546875" style="25" customWidth="1"/>
    <col min="9735" max="9735" width="18.5546875" style="25" customWidth="1"/>
    <col min="9736" max="9736" width="12.109375" style="25" bestFit="1" customWidth="1"/>
    <col min="9737" max="9737" width="17.44140625" style="25" customWidth="1"/>
    <col min="9738" max="9738" width="11.44140625" style="25"/>
    <col min="9739" max="9739" width="13.88671875" style="25" customWidth="1"/>
    <col min="9740" max="9984" width="11.44140625" style="25"/>
    <col min="9985" max="9986" width="5.6640625" style="25" customWidth="1"/>
    <col min="9987" max="9987" width="14.33203125" style="25" customWidth="1"/>
    <col min="9988" max="9988" width="10.6640625" style="25" customWidth="1"/>
    <col min="9989" max="9989" width="24.109375" style="25" customWidth="1"/>
    <col min="9990" max="9990" width="25.5546875" style="25" customWidth="1"/>
    <col min="9991" max="9991" width="18.5546875" style="25" customWidth="1"/>
    <col min="9992" max="9992" width="12.109375" style="25" bestFit="1" customWidth="1"/>
    <col min="9993" max="9993" width="17.44140625" style="25" customWidth="1"/>
    <col min="9994" max="9994" width="11.44140625" style="25"/>
    <col min="9995" max="9995" width="13.88671875" style="25" customWidth="1"/>
    <col min="9996" max="10240" width="11.44140625" style="25"/>
    <col min="10241" max="10242" width="5.6640625" style="25" customWidth="1"/>
    <col min="10243" max="10243" width="14.33203125" style="25" customWidth="1"/>
    <col min="10244" max="10244" width="10.6640625" style="25" customWidth="1"/>
    <col min="10245" max="10245" width="24.109375" style="25" customWidth="1"/>
    <col min="10246" max="10246" width="25.5546875" style="25" customWidth="1"/>
    <col min="10247" max="10247" width="18.5546875" style="25" customWidth="1"/>
    <col min="10248" max="10248" width="12.109375" style="25" bestFit="1" customWidth="1"/>
    <col min="10249" max="10249" width="17.44140625" style="25" customWidth="1"/>
    <col min="10250" max="10250" width="11.44140625" style="25"/>
    <col min="10251" max="10251" width="13.88671875" style="25" customWidth="1"/>
    <col min="10252" max="10496" width="11.44140625" style="25"/>
    <col min="10497" max="10498" width="5.6640625" style="25" customWidth="1"/>
    <col min="10499" max="10499" width="14.33203125" style="25" customWidth="1"/>
    <col min="10500" max="10500" width="10.6640625" style="25" customWidth="1"/>
    <col min="10501" max="10501" width="24.109375" style="25" customWidth="1"/>
    <col min="10502" max="10502" width="25.5546875" style="25" customWidth="1"/>
    <col min="10503" max="10503" width="18.5546875" style="25" customWidth="1"/>
    <col min="10504" max="10504" width="12.109375" style="25" bestFit="1" customWidth="1"/>
    <col min="10505" max="10505" width="17.44140625" style="25" customWidth="1"/>
    <col min="10506" max="10506" width="11.44140625" style="25"/>
    <col min="10507" max="10507" width="13.88671875" style="25" customWidth="1"/>
    <col min="10508" max="10752" width="11.44140625" style="25"/>
    <col min="10753" max="10754" width="5.6640625" style="25" customWidth="1"/>
    <col min="10755" max="10755" width="14.33203125" style="25" customWidth="1"/>
    <col min="10756" max="10756" width="10.6640625" style="25" customWidth="1"/>
    <col min="10757" max="10757" width="24.109375" style="25" customWidth="1"/>
    <col min="10758" max="10758" width="25.5546875" style="25" customWidth="1"/>
    <col min="10759" max="10759" width="18.5546875" style="25" customWidth="1"/>
    <col min="10760" max="10760" width="12.109375" style="25" bestFit="1" customWidth="1"/>
    <col min="10761" max="10761" width="17.44140625" style="25" customWidth="1"/>
    <col min="10762" max="10762" width="11.44140625" style="25"/>
    <col min="10763" max="10763" width="13.88671875" style="25" customWidth="1"/>
    <col min="10764" max="11008" width="11.44140625" style="25"/>
    <col min="11009" max="11010" width="5.6640625" style="25" customWidth="1"/>
    <col min="11011" max="11011" width="14.33203125" style="25" customWidth="1"/>
    <col min="11012" max="11012" width="10.6640625" style="25" customWidth="1"/>
    <col min="11013" max="11013" width="24.109375" style="25" customWidth="1"/>
    <col min="11014" max="11014" width="25.5546875" style="25" customWidth="1"/>
    <col min="11015" max="11015" width="18.5546875" style="25" customWidth="1"/>
    <col min="11016" max="11016" width="12.109375" style="25" bestFit="1" customWidth="1"/>
    <col min="11017" max="11017" width="17.44140625" style="25" customWidth="1"/>
    <col min="11018" max="11018" width="11.44140625" style="25"/>
    <col min="11019" max="11019" width="13.88671875" style="25" customWidth="1"/>
    <col min="11020" max="11264" width="11.44140625" style="25"/>
    <col min="11265" max="11266" width="5.6640625" style="25" customWidth="1"/>
    <col min="11267" max="11267" width="14.33203125" style="25" customWidth="1"/>
    <col min="11268" max="11268" width="10.6640625" style="25" customWidth="1"/>
    <col min="11269" max="11269" width="24.109375" style="25" customWidth="1"/>
    <col min="11270" max="11270" width="25.5546875" style="25" customWidth="1"/>
    <col min="11271" max="11271" width="18.5546875" style="25" customWidth="1"/>
    <col min="11272" max="11272" width="12.109375" style="25" bestFit="1" customWidth="1"/>
    <col min="11273" max="11273" width="17.44140625" style="25" customWidth="1"/>
    <col min="11274" max="11274" width="11.44140625" style="25"/>
    <col min="11275" max="11275" width="13.88671875" style="25" customWidth="1"/>
    <col min="11276" max="11520" width="11.44140625" style="25"/>
    <col min="11521" max="11522" width="5.6640625" style="25" customWidth="1"/>
    <col min="11523" max="11523" width="14.33203125" style="25" customWidth="1"/>
    <col min="11524" max="11524" width="10.6640625" style="25" customWidth="1"/>
    <col min="11525" max="11525" width="24.109375" style="25" customWidth="1"/>
    <col min="11526" max="11526" width="25.5546875" style="25" customWidth="1"/>
    <col min="11527" max="11527" width="18.5546875" style="25" customWidth="1"/>
    <col min="11528" max="11528" width="12.109375" style="25" bestFit="1" customWidth="1"/>
    <col min="11529" max="11529" width="17.44140625" style="25" customWidth="1"/>
    <col min="11530" max="11530" width="11.44140625" style="25"/>
    <col min="11531" max="11531" width="13.88671875" style="25" customWidth="1"/>
    <col min="11532" max="11776" width="11.44140625" style="25"/>
    <col min="11777" max="11778" width="5.6640625" style="25" customWidth="1"/>
    <col min="11779" max="11779" width="14.33203125" style="25" customWidth="1"/>
    <col min="11780" max="11780" width="10.6640625" style="25" customWidth="1"/>
    <col min="11781" max="11781" width="24.109375" style="25" customWidth="1"/>
    <col min="11782" max="11782" width="25.5546875" style="25" customWidth="1"/>
    <col min="11783" max="11783" width="18.5546875" style="25" customWidth="1"/>
    <col min="11784" max="11784" width="12.109375" style="25" bestFit="1" customWidth="1"/>
    <col min="11785" max="11785" width="17.44140625" style="25" customWidth="1"/>
    <col min="11786" max="11786" width="11.44140625" style="25"/>
    <col min="11787" max="11787" width="13.88671875" style="25" customWidth="1"/>
    <col min="11788" max="12032" width="11.44140625" style="25"/>
    <col min="12033" max="12034" width="5.6640625" style="25" customWidth="1"/>
    <col min="12035" max="12035" width="14.33203125" style="25" customWidth="1"/>
    <col min="12036" max="12036" width="10.6640625" style="25" customWidth="1"/>
    <col min="12037" max="12037" width="24.109375" style="25" customWidth="1"/>
    <col min="12038" max="12038" width="25.5546875" style="25" customWidth="1"/>
    <col min="12039" max="12039" width="18.5546875" style="25" customWidth="1"/>
    <col min="12040" max="12040" width="12.109375" style="25" bestFit="1" customWidth="1"/>
    <col min="12041" max="12041" width="17.44140625" style="25" customWidth="1"/>
    <col min="12042" max="12042" width="11.44140625" style="25"/>
    <col min="12043" max="12043" width="13.88671875" style="25" customWidth="1"/>
    <col min="12044" max="12288" width="11.44140625" style="25"/>
    <col min="12289" max="12290" width="5.6640625" style="25" customWidth="1"/>
    <col min="12291" max="12291" width="14.33203125" style="25" customWidth="1"/>
    <col min="12292" max="12292" width="10.6640625" style="25" customWidth="1"/>
    <col min="12293" max="12293" width="24.109375" style="25" customWidth="1"/>
    <col min="12294" max="12294" width="25.5546875" style="25" customWidth="1"/>
    <col min="12295" max="12295" width="18.5546875" style="25" customWidth="1"/>
    <col min="12296" max="12296" width="12.109375" style="25" bestFit="1" customWidth="1"/>
    <col min="12297" max="12297" width="17.44140625" style="25" customWidth="1"/>
    <col min="12298" max="12298" width="11.44140625" style="25"/>
    <col min="12299" max="12299" width="13.88671875" style="25" customWidth="1"/>
    <col min="12300" max="12544" width="11.44140625" style="25"/>
    <col min="12545" max="12546" width="5.6640625" style="25" customWidth="1"/>
    <col min="12547" max="12547" width="14.33203125" style="25" customWidth="1"/>
    <col min="12548" max="12548" width="10.6640625" style="25" customWidth="1"/>
    <col min="12549" max="12549" width="24.109375" style="25" customWidth="1"/>
    <col min="12550" max="12550" width="25.5546875" style="25" customWidth="1"/>
    <col min="12551" max="12551" width="18.5546875" style="25" customWidth="1"/>
    <col min="12552" max="12552" width="12.109375" style="25" bestFit="1" customWidth="1"/>
    <col min="12553" max="12553" width="17.44140625" style="25" customWidth="1"/>
    <col min="12554" max="12554" width="11.44140625" style="25"/>
    <col min="12555" max="12555" width="13.88671875" style="25" customWidth="1"/>
    <col min="12556" max="12800" width="11.44140625" style="25"/>
    <col min="12801" max="12802" width="5.6640625" style="25" customWidth="1"/>
    <col min="12803" max="12803" width="14.33203125" style="25" customWidth="1"/>
    <col min="12804" max="12804" width="10.6640625" style="25" customWidth="1"/>
    <col min="12805" max="12805" width="24.109375" style="25" customWidth="1"/>
    <col min="12806" max="12806" width="25.5546875" style="25" customWidth="1"/>
    <col min="12807" max="12807" width="18.5546875" style="25" customWidth="1"/>
    <col min="12808" max="12808" width="12.109375" style="25" bestFit="1" customWidth="1"/>
    <col min="12809" max="12809" width="17.44140625" style="25" customWidth="1"/>
    <col min="12810" max="12810" width="11.44140625" style="25"/>
    <col min="12811" max="12811" width="13.88671875" style="25" customWidth="1"/>
    <col min="12812" max="13056" width="11.44140625" style="25"/>
    <col min="13057" max="13058" width="5.6640625" style="25" customWidth="1"/>
    <col min="13059" max="13059" width="14.33203125" style="25" customWidth="1"/>
    <col min="13060" max="13060" width="10.6640625" style="25" customWidth="1"/>
    <col min="13061" max="13061" width="24.109375" style="25" customWidth="1"/>
    <col min="13062" max="13062" width="25.5546875" style="25" customWidth="1"/>
    <col min="13063" max="13063" width="18.5546875" style="25" customWidth="1"/>
    <col min="13064" max="13064" width="12.109375" style="25" bestFit="1" customWidth="1"/>
    <col min="13065" max="13065" width="17.44140625" style="25" customWidth="1"/>
    <col min="13066" max="13066" width="11.44140625" style="25"/>
    <col min="13067" max="13067" width="13.88671875" style="25" customWidth="1"/>
    <col min="13068" max="13312" width="11.44140625" style="25"/>
    <col min="13313" max="13314" width="5.6640625" style="25" customWidth="1"/>
    <col min="13315" max="13315" width="14.33203125" style="25" customWidth="1"/>
    <col min="13316" max="13316" width="10.6640625" style="25" customWidth="1"/>
    <col min="13317" max="13317" width="24.109375" style="25" customWidth="1"/>
    <col min="13318" max="13318" width="25.5546875" style="25" customWidth="1"/>
    <col min="13319" max="13319" width="18.5546875" style="25" customWidth="1"/>
    <col min="13320" max="13320" width="12.109375" style="25" bestFit="1" customWidth="1"/>
    <col min="13321" max="13321" width="17.44140625" style="25" customWidth="1"/>
    <col min="13322" max="13322" width="11.44140625" style="25"/>
    <col min="13323" max="13323" width="13.88671875" style="25" customWidth="1"/>
    <col min="13324" max="13568" width="11.44140625" style="25"/>
    <col min="13569" max="13570" width="5.6640625" style="25" customWidth="1"/>
    <col min="13571" max="13571" width="14.33203125" style="25" customWidth="1"/>
    <col min="13572" max="13572" width="10.6640625" style="25" customWidth="1"/>
    <col min="13573" max="13573" width="24.109375" style="25" customWidth="1"/>
    <col min="13574" max="13574" width="25.5546875" style="25" customWidth="1"/>
    <col min="13575" max="13575" width="18.5546875" style="25" customWidth="1"/>
    <col min="13576" max="13576" width="12.109375" style="25" bestFit="1" customWidth="1"/>
    <col min="13577" max="13577" width="17.44140625" style="25" customWidth="1"/>
    <col min="13578" max="13578" width="11.44140625" style="25"/>
    <col min="13579" max="13579" width="13.88671875" style="25" customWidth="1"/>
    <col min="13580" max="13824" width="11.44140625" style="25"/>
    <col min="13825" max="13826" width="5.6640625" style="25" customWidth="1"/>
    <col min="13827" max="13827" width="14.33203125" style="25" customWidth="1"/>
    <col min="13828" max="13828" width="10.6640625" style="25" customWidth="1"/>
    <col min="13829" max="13829" width="24.109375" style="25" customWidth="1"/>
    <col min="13830" max="13830" width="25.5546875" style="25" customWidth="1"/>
    <col min="13831" max="13831" width="18.5546875" style="25" customWidth="1"/>
    <col min="13832" max="13832" width="12.109375" style="25" bestFit="1" customWidth="1"/>
    <col min="13833" max="13833" width="17.44140625" style="25" customWidth="1"/>
    <col min="13834" max="13834" width="11.44140625" style="25"/>
    <col min="13835" max="13835" width="13.88671875" style="25" customWidth="1"/>
    <col min="13836" max="14080" width="11.44140625" style="25"/>
    <col min="14081" max="14082" width="5.6640625" style="25" customWidth="1"/>
    <col min="14083" max="14083" width="14.33203125" style="25" customWidth="1"/>
    <col min="14084" max="14084" width="10.6640625" style="25" customWidth="1"/>
    <col min="14085" max="14085" width="24.109375" style="25" customWidth="1"/>
    <col min="14086" max="14086" width="25.5546875" style="25" customWidth="1"/>
    <col min="14087" max="14087" width="18.5546875" style="25" customWidth="1"/>
    <col min="14088" max="14088" width="12.109375" style="25" bestFit="1" customWidth="1"/>
    <col min="14089" max="14089" width="17.44140625" style="25" customWidth="1"/>
    <col min="14090" max="14090" width="11.44140625" style="25"/>
    <col min="14091" max="14091" width="13.88671875" style="25" customWidth="1"/>
    <col min="14092" max="14336" width="11.44140625" style="25"/>
    <col min="14337" max="14338" width="5.6640625" style="25" customWidth="1"/>
    <col min="14339" max="14339" width="14.33203125" style="25" customWidth="1"/>
    <col min="14340" max="14340" width="10.6640625" style="25" customWidth="1"/>
    <col min="14341" max="14341" width="24.109375" style="25" customWidth="1"/>
    <col min="14342" max="14342" width="25.5546875" style="25" customWidth="1"/>
    <col min="14343" max="14343" width="18.5546875" style="25" customWidth="1"/>
    <col min="14344" max="14344" width="12.109375" style="25" bestFit="1" customWidth="1"/>
    <col min="14345" max="14345" width="17.44140625" style="25" customWidth="1"/>
    <col min="14346" max="14346" width="11.44140625" style="25"/>
    <col min="14347" max="14347" width="13.88671875" style="25" customWidth="1"/>
    <col min="14348" max="14592" width="11.44140625" style="25"/>
    <col min="14593" max="14594" width="5.6640625" style="25" customWidth="1"/>
    <col min="14595" max="14595" width="14.33203125" style="25" customWidth="1"/>
    <col min="14596" max="14596" width="10.6640625" style="25" customWidth="1"/>
    <col min="14597" max="14597" width="24.109375" style="25" customWidth="1"/>
    <col min="14598" max="14598" width="25.5546875" style="25" customWidth="1"/>
    <col min="14599" max="14599" width="18.5546875" style="25" customWidth="1"/>
    <col min="14600" max="14600" width="12.109375" style="25" bestFit="1" customWidth="1"/>
    <col min="14601" max="14601" width="17.44140625" style="25" customWidth="1"/>
    <col min="14602" max="14602" width="11.44140625" style="25"/>
    <col min="14603" max="14603" width="13.88671875" style="25" customWidth="1"/>
    <col min="14604" max="14848" width="11.44140625" style="25"/>
    <col min="14849" max="14850" width="5.6640625" style="25" customWidth="1"/>
    <col min="14851" max="14851" width="14.33203125" style="25" customWidth="1"/>
    <col min="14852" max="14852" width="10.6640625" style="25" customWidth="1"/>
    <col min="14853" max="14853" width="24.109375" style="25" customWidth="1"/>
    <col min="14854" max="14854" width="25.5546875" style="25" customWidth="1"/>
    <col min="14855" max="14855" width="18.5546875" style="25" customWidth="1"/>
    <col min="14856" max="14856" width="12.109375" style="25" bestFit="1" customWidth="1"/>
    <col min="14857" max="14857" width="17.44140625" style="25" customWidth="1"/>
    <col min="14858" max="14858" width="11.44140625" style="25"/>
    <col min="14859" max="14859" width="13.88671875" style="25" customWidth="1"/>
    <col min="14860" max="15104" width="11.44140625" style="25"/>
    <col min="15105" max="15106" width="5.6640625" style="25" customWidth="1"/>
    <col min="15107" max="15107" width="14.33203125" style="25" customWidth="1"/>
    <col min="15108" max="15108" width="10.6640625" style="25" customWidth="1"/>
    <col min="15109" max="15109" width="24.109375" style="25" customWidth="1"/>
    <col min="15110" max="15110" width="25.5546875" style="25" customWidth="1"/>
    <col min="15111" max="15111" width="18.5546875" style="25" customWidth="1"/>
    <col min="15112" max="15112" width="12.109375" style="25" bestFit="1" customWidth="1"/>
    <col min="15113" max="15113" width="17.44140625" style="25" customWidth="1"/>
    <col min="15114" max="15114" width="11.44140625" style="25"/>
    <col min="15115" max="15115" width="13.88671875" style="25" customWidth="1"/>
    <col min="15116" max="15360" width="11.44140625" style="25"/>
    <col min="15361" max="15362" width="5.6640625" style="25" customWidth="1"/>
    <col min="15363" max="15363" width="14.33203125" style="25" customWidth="1"/>
    <col min="15364" max="15364" width="10.6640625" style="25" customWidth="1"/>
    <col min="15365" max="15365" width="24.109375" style="25" customWidth="1"/>
    <col min="15366" max="15366" width="25.5546875" style="25" customWidth="1"/>
    <col min="15367" max="15367" width="18.5546875" style="25" customWidth="1"/>
    <col min="15368" max="15368" width="12.109375" style="25" bestFit="1" customWidth="1"/>
    <col min="15369" max="15369" width="17.44140625" style="25" customWidth="1"/>
    <col min="15370" max="15370" width="11.44140625" style="25"/>
    <col min="15371" max="15371" width="13.88671875" style="25" customWidth="1"/>
    <col min="15372" max="15616" width="11.44140625" style="25"/>
    <col min="15617" max="15618" width="5.6640625" style="25" customWidth="1"/>
    <col min="15619" max="15619" width="14.33203125" style="25" customWidth="1"/>
    <col min="15620" max="15620" width="10.6640625" style="25" customWidth="1"/>
    <col min="15621" max="15621" width="24.109375" style="25" customWidth="1"/>
    <col min="15622" max="15622" width="25.5546875" style="25" customWidth="1"/>
    <col min="15623" max="15623" width="18.5546875" style="25" customWidth="1"/>
    <col min="15624" max="15624" width="12.109375" style="25" bestFit="1" customWidth="1"/>
    <col min="15625" max="15625" width="17.44140625" style="25" customWidth="1"/>
    <col min="15626" max="15626" width="11.44140625" style="25"/>
    <col min="15627" max="15627" width="13.88671875" style="25" customWidth="1"/>
    <col min="15628" max="15872" width="11.44140625" style="25"/>
    <col min="15873" max="15874" width="5.6640625" style="25" customWidth="1"/>
    <col min="15875" max="15875" width="14.33203125" style="25" customWidth="1"/>
    <col min="15876" max="15876" width="10.6640625" style="25" customWidth="1"/>
    <col min="15877" max="15877" width="24.109375" style="25" customWidth="1"/>
    <col min="15878" max="15878" width="25.5546875" style="25" customWidth="1"/>
    <col min="15879" max="15879" width="18.5546875" style="25" customWidth="1"/>
    <col min="15880" max="15880" width="12.109375" style="25" bestFit="1" customWidth="1"/>
    <col min="15881" max="15881" width="17.44140625" style="25" customWidth="1"/>
    <col min="15882" max="15882" width="11.44140625" style="25"/>
    <col min="15883" max="15883" width="13.88671875" style="25" customWidth="1"/>
    <col min="15884" max="16128" width="11.44140625" style="25"/>
    <col min="16129" max="16130" width="5.6640625" style="25" customWidth="1"/>
    <col min="16131" max="16131" width="14.33203125" style="25" customWidth="1"/>
    <col min="16132" max="16132" width="10.6640625" style="25" customWidth="1"/>
    <col min="16133" max="16133" width="24.109375" style="25" customWidth="1"/>
    <col min="16134" max="16134" width="25.5546875" style="25" customWidth="1"/>
    <col min="16135" max="16135" width="18.5546875" style="25" customWidth="1"/>
    <col min="16136" max="16136" width="12.109375" style="25" bestFit="1" customWidth="1"/>
    <col min="16137" max="16137" width="17.44140625" style="25" customWidth="1"/>
    <col min="16138" max="16138" width="11.44140625" style="25"/>
    <col min="16139" max="16139" width="13.88671875" style="25" customWidth="1"/>
    <col min="16140" max="16384" width="11.44140625" style="25"/>
  </cols>
  <sheetData>
    <row r="5" spans="1:11" ht="17.399999999999999" x14ac:dyDescent="0.25">
      <c r="A5" s="229" t="s">
        <v>287</v>
      </c>
      <c r="B5" s="229"/>
      <c r="C5" s="229"/>
      <c r="D5" s="229"/>
      <c r="E5" s="229"/>
      <c r="F5" s="229"/>
      <c r="G5" s="229"/>
    </row>
    <row r="6" spans="1:11" ht="17.399999999999999" x14ac:dyDescent="0.25">
      <c r="A6" s="82"/>
      <c r="B6" s="82"/>
      <c r="C6" s="82"/>
      <c r="D6" s="82"/>
      <c r="E6" s="82"/>
      <c r="F6" s="82"/>
      <c r="G6" s="82"/>
    </row>
    <row r="7" spans="1:11" s="42" customFormat="1" ht="49.2" customHeight="1" x14ac:dyDescent="0.3">
      <c r="A7" s="241" t="str">
        <f>'DATOS GENERALES'!D13</f>
        <v>PROYECTO:</v>
      </c>
      <c r="B7" s="241"/>
      <c r="C7" s="240" t="s">
        <v>53</v>
      </c>
      <c r="D7" s="240"/>
      <c r="E7" s="240"/>
      <c r="F7" s="240"/>
      <c r="G7" s="240"/>
    </row>
    <row r="8" spans="1:11" ht="21.6" customHeight="1" x14ac:dyDescent="0.25">
      <c r="A8" s="40" t="str">
        <f>'DATOS GENERALES'!D16</f>
        <v>CONTRATO:</v>
      </c>
      <c r="C8" s="41" t="str">
        <f>'DATOS GENERALES'!G16</f>
        <v>EJECUCION DE OBRA</v>
      </c>
      <c r="F8" s="81" t="str">
        <f>PRESUPUESTO!F6</f>
        <v>Fecha Pres.</v>
      </c>
      <c r="G8" s="80">
        <f>PRESUPUESTO!G6</f>
        <v>44707</v>
      </c>
    </row>
    <row r="9" spans="1:11" s="1" customFormat="1" ht="15.9" customHeight="1" x14ac:dyDescent="0.3">
      <c r="A9" s="231" t="s">
        <v>26</v>
      </c>
      <c r="B9" s="232"/>
      <c r="C9" s="232"/>
      <c r="D9" s="232"/>
      <c r="E9" s="233"/>
      <c r="F9" s="237" t="s">
        <v>23</v>
      </c>
      <c r="G9" s="238"/>
    </row>
    <row r="10" spans="1:11" s="1" customFormat="1" ht="15.9" customHeight="1" x14ac:dyDescent="0.3">
      <c r="A10" s="234"/>
      <c r="B10" s="235"/>
      <c r="C10" s="235"/>
      <c r="D10" s="235"/>
      <c r="E10" s="236"/>
      <c r="F10" s="43" t="s">
        <v>65</v>
      </c>
      <c r="G10" s="44" t="s">
        <v>0</v>
      </c>
      <c r="K10" s="2"/>
    </row>
    <row r="11" spans="1:11" s="8" customFormat="1" ht="9.9" customHeight="1" x14ac:dyDescent="0.3">
      <c r="A11" s="3"/>
      <c r="B11" s="4"/>
      <c r="C11" s="5"/>
      <c r="D11" s="5"/>
      <c r="E11" s="5"/>
      <c r="F11" s="6"/>
      <c r="G11" s="7"/>
    </row>
    <row r="12" spans="1:11" s="8" customFormat="1" ht="15.9" customHeight="1" x14ac:dyDescent="0.3">
      <c r="A12" s="29"/>
      <c r="B12" s="30" t="s">
        <v>2</v>
      </c>
      <c r="C12" s="30" t="s">
        <v>1</v>
      </c>
      <c r="D12" s="30"/>
      <c r="E12" s="30"/>
      <c r="F12" s="58">
        <f>PRESUPUESTO!G78</f>
        <v>1052677.8065150573</v>
      </c>
      <c r="G12" s="39"/>
      <c r="J12" s="9"/>
      <c r="K12" s="9"/>
    </row>
    <row r="13" spans="1:11" s="8" customFormat="1" ht="9.9" customHeight="1" x14ac:dyDescent="0.25">
      <c r="A13" s="10"/>
      <c r="B13" s="11"/>
      <c r="C13" s="11"/>
      <c r="D13" s="11"/>
      <c r="E13" s="11"/>
      <c r="F13" s="12"/>
      <c r="G13" s="13"/>
    </row>
    <row r="14" spans="1:11" s="14" customFormat="1" ht="9.9" customHeight="1" x14ac:dyDescent="0.25">
      <c r="A14" s="45"/>
      <c r="B14" s="8"/>
      <c r="C14" s="8"/>
      <c r="D14" s="8"/>
      <c r="E14" s="8"/>
      <c r="F14" s="46"/>
      <c r="G14" s="47"/>
    </row>
    <row r="15" spans="1:11" s="14" customFormat="1" ht="15.6" x14ac:dyDescent="0.3">
      <c r="A15" s="48"/>
      <c r="B15" s="49" t="s">
        <v>3</v>
      </c>
      <c r="C15" s="4"/>
      <c r="D15" s="8"/>
      <c r="E15" s="8"/>
      <c r="F15" s="46"/>
      <c r="G15" s="50"/>
      <c r="K15" s="15"/>
    </row>
    <row r="16" spans="1:11" s="14" customFormat="1" ht="9.9" customHeight="1" x14ac:dyDescent="0.25">
      <c r="A16" s="45"/>
      <c r="B16" s="8"/>
      <c r="C16" s="8"/>
      <c r="D16" s="8"/>
      <c r="E16" s="8"/>
      <c r="F16" s="46"/>
      <c r="G16" s="50"/>
    </row>
    <row r="17" spans="1:13" s="14" customFormat="1" ht="15.9" customHeight="1" x14ac:dyDescent="0.25">
      <c r="A17" s="45"/>
      <c r="B17" s="8" t="s">
        <v>4</v>
      </c>
      <c r="C17" s="8" t="s">
        <v>5</v>
      </c>
      <c r="D17" s="8"/>
      <c r="E17" s="8"/>
      <c r="F17" s="51">
        <f>'DESAGREGADO GG'!F25</f>
        <v>55201.062466666663</v>
      </c>
      <c r="G17" s="65">
        <f>ROUND(F17/$F$12,8)</f>
        <v>5.2438709999999999E-2</v>
      </c>
      <c r="J17" s="15"/>
    </row>
    <row r="18" spans="1:13" s="14" customFormat="1" ht="15.9" customHeight="1" x14ac:dyDescent="0.25">
      <c r="A18" s="45"/>
      <c r="B18" s="8"/>
      <c r="C18" s="8" t="s">
        <v>6</v>
      </c>
      <c r="D18" s="8"/>
      <c r="E18" s="8"/>
      <c r="F18" s="46"/>
      <c r="G18" s="52"/>
    </row>
    <row r="19" spans="1:13" s="14" customFormat="1" ht="15.9" customHeight="1" x14ac:dyDescent="0.25">
      <c r="A19" s="45"/>
      <c r="B19" s="8"/>
      <c r="C19" s="8"/>
      <c r="D19" s="8"/>
      <c r="E19" s="8"/>
      <c r="F19" s="46"/>
      <c r="G19" s="52"/>
    </row>
    <row r="20" spans="1:13" s="14" customFormat="1" ht="15.9" customHeight="1" x14ac:dyDescent="0.25">
      <c r="A20" s="45"/>
      <c r="B20" s="8" t="s">
        <v>7</v>
      </c>
      <c r="C20" s="8" t="s">
        <v>8</v>
      </c>
      <c r="D20" s="8"/>
      <c r="E20" s="8"/>
      <c r="F20" s="51">
        <f>'DESAGREGADO GG'!F12</f>
        <v>369844.7</v>
      </c>
      <c r="G20" s="65">
        <f>ROUND(F20/$F$12,8)</f>
        <v>0.35133703999999999</v>
      </c>
    </row>
    <row r="21" spans="1:13" s="14" customFormat="1" ht="15.9" customHeight="1" x14ac:dyDescent="0.25">
      <c r="A21" s="45"/>
      <c r="B21" s="8"/>
      <c r="C21" s="8" t="s">
        <v>9</v>
      </c>
      <c r="D21" s="8"/>
      <c r="E21" s="8"/>
      <c r="F21" s="46"/>
      <c r="G21" s="53"/>
      <c r="I21" s="230"/>
      <c r="K21" s="36"/>
      <c r="L21" s="32"/>
    </row>
    <row r="22" spans="1:13" s="14" customFormat="1" ht="9.9" customHeight="1" x14ac:dyDescent="0.25">
      <c r="A22" s="45"/>
      <c r="B22" s="8"/>
      <c r="C22" s="8"/>
      <c r="D22" s="8"/>
      <c r="E22" s="8"/>
      <c r="F22" s="46"/>
      <c r="G22" s="53"/>
      <c r="I22" s="230"/>
    </row>
    <row r="23" spans="1:13" s="8" customFormat="1" ht="15.75" customHeight="1" x14ac:dyDescent="0.3">
      <c r="A23" s="3"/>
      <c r="B23" s="5"/>
      <c r="C23" s="5"/>
      <c r="D23" s="5"/>
      <c r="E23" s="5"/>
      <c r="F23" s="69"/>
      <c r="G23" s="68"/>
      <c r="I23" s="230"/>
    </row>
    <row r="24" spans="1:13" s="8" customFormat="1" ht="15.75" customHeight="1" x14ac:dyDescent="0.3">
      <c r="A24" s="29"/>
      <c r="B24" s="30" t="s">
        <v>12</v>
      </c>
      <c r="C24" s="30" t="s">
        <v>10</v>
      </c>
      <c r="D24" s="30"/>
      <c r="E24" s="30"/>
      <c r="F24" s="31">
        <f>F20+F17</f>
        <v>425045.7624666667</v>
      </c>
      <c r="G24" s="70">
        <f>ROUND(F24/F12,8)</f>
        <v>0.40377573999999999</v>
      </c>
      <c r="H24" s="18"/>
      <c r="I24" s="230"/>
      <c r="J24" s="34"/>
      <c r="K24" s="36"/>
      <c r="L24" s="32"/>
      <c r="M24" s="35"/>
    </row>
    <row r="25" spans="1:13" s="8" customFormat="1" ht="9.9" customHeight="1" x14ac:dyDescent="0.25">
      <c r="A25" s="10"/>
      <c r="B25" s="11"/>
      <c r="C25" s="11"/>
      <c r="D25" s="11"/>
      <c r="E25" s="11"/>
      <c r="F25" s="17"/>
      <c r="G25" s="33"/>
      <c r="M25" s="35"/>
    </row>
    <row r="26" spans="1:13" s="8" customFormat="1" ht="15.75" customHeight="1" x14ac:dyDescent="0.3">
      <c r="A26" s="29"/>
      <c r="B26" s="30" t="s">
        <v>28</v>
      </c>
      <c r="C26" s="30" t="s">
        <v>11</v>
      </c>
      <c r="D26" s="30"/>
      <c r="E26" s="30"/>
      <c r="F26" s="16">
        <f>F12*G26</f>
        <v>105267.78065150575</v>
      </c>
      <c r="G26" s="67">
        <v>0.1</v>
      </c>
      <c r="H26" s="18"/>
      <c r="I26" s="18"/>
      <c r="J26" s="34"/>
      <c r="K26" s="36"/>
      <c r="L26" s="32"/>
      <c r="M26" s="35"/>
    </row>
    <row r="27" spans="1:13" s="14" customFormat="1" ht="9.9" customHeight="1" x14ac:dyDescent="0.3">
      <c r="A27" s="3"/>
      <c r="B27" s="5"/>
      <c r="C27" s="5"/>
      <c r="D27" s="5"/>
      <c r="E27" s="5"/>
      <c r="F27" s="19"/>
      <c r="G27" s="7"/>
    </row>
    <row r="28" spans="1:13" s="14" customFormat="1" ht="15.9" customHeight="1" x14ac:dyDescent="0.3">
      <c r="A28" s="29"/>
      <c r="B28" s="30" t="s">
        <v>29</v>
      </c>
      <c r="C28" s="30" t="s">
        <v>21</v>
      </c>
      <c r="D28" s="30"/>
      <c r="E28" s="30"/>
      <c r="F28" s="31">
        <f>ROUND(+F12+F24+F26,2)</f>
        <v>1582991.35</v>
      </c>
      <c r="G28" s="226">
        <f>G24+G26</f>
        <v>0.50377574000000003</v>
      </c>
      <c r="J28" s="32"/>
      <c r="L28" s="37"/>
    </row>
    <row r="29" spans="1:13" s="14" customFormat="1" ht="9.9" customHeight="1" x14ac:dyDescent="0.25">
      <c r="A29" s="20"/>
      <c r="B29" s="11"/>
      <c r="C29" s="11"/>
      <c r="D29" s="11"/>
      <c r="E29" s="11"/>
      <c r="F29" s="17"/>
      <c r="G29" s="13"/>
      <c r="J29" s="32"/>
    </row>
    <row r="30" spans="1:13" s="14" customFormat="1" ht="9.9" customHeight="1" x14ac:dyDescent="0.25">
      <c r="A30" s="45"/>
      <c r="B30" s="8"/>
      <c r="C30" s="8"/>
      <c r="D30" s="8"/>
      <c r="E30" s="8"/>
      <c r="F30" s="54"/>
      <c r="G30" s="47"/>
      <c r="J30" s="32"/>
    </row>
    <row r="31" spans="1:13" s="14" customFormat="1" ht="15.9" customHeight="1" x14ac:dyDescent="0.3">
      <c r="A31" s="48"/>
      <c r="B31" s="239" t="s">
        <v>13</v>
      </c>
      <c r="C31" s="239"/>
      <c r="D31" s="55"/>
      <c r="E31" s="8"/>
      <c r="F31" s="56">
        <f>ROUND(F28*G31,2)</f>
        <v>284938.44</v>
      </c>
      <c r="G31" s="57">
        <v>0.18</v>
      </c>
      <c r="J31" s="32"/>
    </row>
    <row r="32" spans="1:13" s="14" customFormat="1" ht="9.9" customHeight="1" x14ac:dyDescent="0.25">
      <c r="A32" s="45"/>
      <c r="B32" s="8"/>
      <c r="C32" s="8"/>
      <c r="D32" s="8"/>
      <c r="E32" s="8"/>
      <c r="F32" s="54"/>
      <c r="G32" s="57"/>
      <c r="J32" s="32"/>
    </row>
    <row r="33" spans="1:11" s="8" customFormat="1" ht="9.9" customHeight="1" thickBot="1" x14ac:dyDescent="0.35">
      <c r="A33" s="3"/>
      <c r="B33" s="5"/>
      <c r="C33" s="5"/>
      <c r="D33" s="5"/>
      <c r="E33" s="5"/>
      <c r="F33" s="19"/>
      <c r="G33" s="7"/>
      <c r="J33" s="32"/>
    </row>
    <row r="34" spans="1:11" s="8" customFormat="1" ht="15.9" customHeight="1" thickBot="1" x14ac:dyDescent="0.35">
      <c r="A34" s="29"/>
      <c r="B34" s="30" t="s">
        <v>30</v>
      </c>
      <c r="C34" s="30" t="s">
        <v>27</v>
      </c>
      <c r="D34" s="30"/>
      <c r="E34" s="30"/>
      <c r="F34" s="31">
        <f>SUM(F28:F31)</f>
        <v>1867929.79</v>
      </c>
      <c r="G34" s="39"/>
      <c r="I34" s="59"/>
      <c r="J34" s="32"/>
      <c r="K34" s="60"/>
    </row>
    <row r="35" spans="1:11" s="8" customFormat="1" ht="9.9" customHeight="1" x14ac:dyDescent="0.25">
      <c r="A35" s="20"/>
      <c r="B35" s="11"/>
      <c r="C35" s="11"/>
      <c r="D35" s="11"/>
      <c r="E35" s="11"/>
      <c r="F35" s="17"/>
      <c r="G35" s="13"/>
      <c r="J35" s="14"/>
    </row>
    <row r="36" spans="1:11" ht="13.8" x14ac:dyDescent="0.25">
      <c r="A36" s="21"/>
      <c r="B36" s="22"/>
      <c r="C36" s="22"/>
      <c r="D36" s="22"/>
      <c r="E36" s="22"/>
      <c r="F36" s="23"/>
      <c r="G36" s="24"/>
      <c r="J36" s="14"/>
    </row>
    <row r="37" spans="1:11" ht="12" hidden="1" customHeight="1" x14ac:dyDescent="0.3">
      <c r="A37" s="3"/>
      <c r="B37" s="5"/>
      <c r="C37" s="5"/>
      <c r="D37" s="5"/>
      <c r="E37" s="5"/>
      <c r="F37" s="19"/>
      <c r="G37" s="7"/>
      <c r="J37" s="14"/>
    </row>
    <row r="38" spans="1:11" ht="15.9" hidden="1" customHeight="1" x14ac:dyDescent="0.3">
      <c r="A38" s="29"/>
      <c r="B38" s="30"/>
      <c r="C38" s="30" t="s">
        <v>25</v>
      </c>
      <c r="D38" s="38"/>
      <c r="E38" s="38"/>
      <c r="F38" s="31">
        <v>41303137.799999997</v>
      </c>
      <c r="G38" s="39">
        <f>+F38/F38</f>
        <v>1</v>
      </c>
      <c r="J38" s="32">
        <f>+F38*1.5</f>
        <v>61954706.699999996</v>
      </c>
    </row>
    <row r="39" spans="1:11" ht="12" hidden="1" customHeight="1" x14ac:dyDescent="0.25">
      <c r="A39" s="20"/>
      <c r="B39" s="11"/>
      <c r="C39" s="11"/>
      <c r="D39" s="11"/>
      <c r="E39" s="11"/>
      <c r="F39" s="26"/>
      <c r="G39" s="13"/>
    </row>
    <row r="40" spans="1:11" ht="13.8" hidden="1" x14ac:dyDescent="0.25">
      <c r="A40" s="27"/>
      <c r="B40" s="14"/>
      <c r="C40" s="14"/>
      <c r="D40" s="14"/>
      <c r="E40" s="14"/>
      <c r="F40" s="28"/>
      <c r="G40" s="28"/>
    </row>
    <row r="41" spans="1:11" ht="15" hidden="1" x14ac:dyDescent="0.25">
      <c r="F41" s="32">
        <v>97037604.290000007</v>
      </c>
      <c r="G41" s="32"/>
      <c r="H41" s="32"/>
      <c r="I41" s="32"/>
      <c r="J41" s="32"/>
    </row>
    <row r="42" spans="1:11" ht="15" hidden="1" x14ac:dyDescent="0.25">
      <c r="F42" s="32"/>
      <c r="G42" s="32"/>
      <c r="H42" s="32"/>
      <c r="I42" s="32"/>
      <c r="J42" s="32"/>
    </row>
    <row r="43" spans="1:11" ht="15" hidden="1" x14ac:dyDescent="0.25">
      <c r="F43" s="62">
        <f>+F41-F34</f>
        <v>95169674.5</v>
      </c>
      <c r="G43" s="32"/>
      <c r="H43" s="32"/>
      <c r="I43" s="32"/>
      <c r="J43" s="32"/>
    </row>
  </sheetData>
  <mergeCells count="7">
    <mergeCell ref="A5:G5"/>
    <mergeCell ref="I21:I24"/>
    <mergeCell ref="A9:E10"/>
    <mergeCell ref="F9:G9"/>
    <mergeCell ref="B31:C31"/>
    <mergeCell ref="C7:G7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E94D-4417-430C-B9CE-F232EB53ECFA}">
  <dimension ref="B5:F34"/>
  <sheetViews>
    <sheetView view="pageBreakPreview" topLeftCell="A3" zoomScale="80" zoomScaleNormal="100" zoomScaleSheetLayoutView="80" workbookViewId="0">
      <selection activeCell="N27" sqref="N27"/>
    </sheetView>
  </sheetViews>
  <sheetFormatPr baseColWidth="10" defaultRowHeight="14.4" x14ac:dyDescent="0.3"/>
  <cols>
    <col min="1" max="1" width="2.44140625" customWidth="1"/>
    <col min="3" max="3" width="57.77734375" customWidth="1"/>
    <col min="6" max="6" width="15.6640625" bestFit="1" customWidth="1"/>
  </cols>
  <sheetData>
    <row r="5" spans="2:6" s="342" customFormat="1" ht="13.8" x14ac:dyDescent="0.3">
      <c r="B5" s="341" t="s">
        <v>24</v>
      </c>
      <c r="C5" s="341"/>
      <c r="D5" s="341"/>
      <c r="E5" s="341"/>
      <c r="F5" s="341"/>
    </row>
    <row r="6" spans="2:6" s="342" customFormat="1" ht="13.8" x14ac:dyDescent="0.3">
      <c r="B6" s="343"/>
      <c r="C6" s="343"/>
      <c r="D6" s="343"/>
      <c r="E6" s="343"/>
      <c r="F6" s="344"/>
    </row>
    <row r="7" spans="2:6" s="342" customFormat="1" ht="13.8" x14ac:dyDescent="0.3">
      <c r="B7" s="345" t="str">
        <f>'DATOS GENERALES'!D13</f>
        <v>PROYECTO:</v>
      </c>
      <c r="C7" s="345" t="str">
        <f>'DATOS GENERALES'!G13</f>
        <v>DEFENSAS RIBEREÑAS DEL RIO LACRAMARCA - PAQUETE R-07 - QDA PAMPA DEL TORO</v>
      </c>
      <c r="D7" s="345"/>
      <c r="E7" s="345"/>
      <c r="F7" s="346"/>
    </row>
    <row r="8" spans="2:6" s="342" customFormat="1" ht="15.75" customHeight="1" x14ac:dyDescent="0.3">
      <c r="B8" s="345" t="str">
        <f>'DATOS GENERALES'!D16</f>
        <v>CONTRATO:</v>
      </c>
      <c r="C8" s="345" t="str">
        <f>'DATOS GENERALES'!G16</f>
        <v>EJECUCION DE OBRA</v>
      </c>
      <c r="D8" s="345"/>
      <c r="E8" s="345"/>
      <c r="F8" s="346"/>
    </row>
    <row r="9" spans="2:6" s="342" customFormat="1" ht="13.8" x14ac:dyDescent="0.3">
      <c r="B9" s="347"/>
      <c r="C9" s="347"/>
      <c r="D9" s="347"/>
      <c r="E9" s="348"/>
      <c r="F9" s="349"/>
    </row>
    <row r="10" spans="2:6" s="342" customFormat="1" ht="13.8" x14ac:dyDescent="0.3">
      <c r="B10" s="350" t="s">
        <v>176</v>
      </c>
      <c r="C10" s="351" t="s">
        <v>177</v>
      </c>
      <c r="D10" s="350" t="s">
        <v>258</v>
      </c>
      <c r="E10" s="350" t="s">
        <v>259</v>
      </c>
      <c r="F10" s="352" t="s">
        <v>260</v>
      </c>
    </row>
    <row r="11" spans="2:6" s="342" customFormat="1" ht="19.95" customHeight="1" x14ac:dyDescent="0.3">
      <c r="B11" s="353"/>
      <c r="C11" s="354"/>
      <c r="D11" s="354"/>
      <c r="E11" s="353"/>
      <c r="F11" s="355"/>
    </row>
    <row r="12" spans="2:6" s="342" customFormat="1" ht="19.95" customHeight="1" x14ac:dyDescent="0.3">
      <c r="B12" s="356">
        <v>1</v>
      </c>
      <c r="C12" s="345" t="s">
        <v>19</v>
      </c>
      <c r="D12" s="357"/>
      <c r="E12" s="356" t="s">
        <v>243</v>
      </c>
      <c r="F12" s="358">
        <f>SUM(F13:F23)</f>
        <v>369844.7</v>
      </c>
    </row>
    <row r="13" spans="2:6" s="342" customFormat="1" ht="19.95" customHeight="1" x14ac:dyDescent="0.3">
      <c r="B13" s="356"/>
      <c r="C13" s="347" t="s">
        <v>186</v>
      </c>
      <c r="D13" s="357"/>
      <c r="E13" s="356" t="s">
        <v>243</v>
      </c>
      <c r="F13" s="349">
        <f>'DETALLE GG'!L14</f>
        <v>124837.5</v>
      </c>
    </row>
    <row r="14" spans="2:6" s="342" customFormat="1" ht="19.95" customHeight="1" x14ac:dyDescent="0.3">
      <c r="B14" s="356"/>
      <c r="C14" s="347" t="s">
        <v>208</v>
      </c>
      <c r="D14" s="357"/>
      <c r="E14" s="356" t="s">
        <v>243</v>
      </c>
      <c r="F14" s="349">
        <f>'DETALLE GG'!L38</f>
        <v>32400</v>
      </c>
    </row>
    <row r="15" spans="2:6" s="342" customFormat="1" ht="19.95" customHeight="1" x14ac:dyDescent="0.3">
      <c r="B15" s="356"/>
      <c r="C15" s="347" t="s">
        <v>215</v>
      </c>
      <c r="D15" s="357"/>
      <c r="E15" s="356" t="s">
        <v>243</v>
      </c>
      <c r="F15" s="349">
        <f>'DETALLE GG'!L44</f>
        <v>110328</v>
      </c>
    </row>
    <row r="16" spans="2:6" s="342" customFormat="1" ht="19.95" customHeight="1" x14ac:dyDescent="0.3">
      <c r="B16" s="356"/>
      <c r="C16" s="347" t="s">
        <v>219</v>
      </c>
      <c r="D16" s="357"/>
      <c r="E16" s="356" t="s">
        <v>243</v>
      </c>
      <c r="F16" s="349">
        <f>'DETALLE GG'!L48</f>
        <v>2500</v>
      </c>
    </row>
    <row r="17" spans="2:6" s="342" customFormat="1" ht="19.95" customHeight="1" x14ac:dyDescent="0.3">
      <c r="B17" s="356"/>
      <c r="C17" s="347" t="s">
        <v>222</v>
      </c>
      <c r="D17" s="357"/>
      <c r="E17" s="356" t="s">
        <v>243</v>
      </c>
      <c r="F17" s="349">
        <f>'DETALLE GG'!L50</f>
        <v>5250</v>
      </c>
    </row>
    <row r="18" spans="2:6" s="342" customFormat="1" ht="19.95" customHeight="1" x14ac:dyDescent="0.3">
      <c r="B18" s="356"/>
      <c r="C18" s="347" t="s">
        <v>223</v>
      </c>
      <c r="D18" s="357"/>
      <c r="E18" s="356" t="s">
        <v>243</v>
      </c>
      <c r="F18" s="349">
        <f>'DETALLE GG'!L52</f>
        <v>11859.2</v>
      </c>
    </row>
    <row r="19" spans="2:6" s="342" customFormat="1" ht="19.95" customHeight="1" x14ac:dyDescent="0.3">
      <c r="B19" s="356"/>
      <c r="C19" s="347" t="s">
        <v>230</v>
      </c>
      <c r="D19" s="357"/>
      <c r="E19" s="356" t="s">
        <v>243</v>
      </c>
      <c r="F19" s="349">
        <f>'DETALLE GG'!L57</f>
        <v>2250</v>
      </c>
    </row>
    <row r="20" spans="2:6" s="342" customFormat="1" ht="19.95" customHeight="1" x14ac:dyDescent="0.3">
      <c r="B20" s="356"/>
      <c r="C20" s="347" t="s">
        <v>233</v>
      </c>
      <c r="D20" s="357"/>
      <c r="E20" s="356" t="s">
        <v>243</v>
      </c>
      <c r="F20" s="349">
        <f>'DETALLE GG'!L60</f>
        <v>16320</v>
      </c>
    </row>
    <row r="21" spans="2:6" s="342" customFormat="1" ht="19.95" customHeight="1" x14ac:dyDescent="0.3">
      <c r="B21" s="356"/>
      <c r="C21" s="347" t="s">
        <v>236</v>
      </c>
      <c r="D21" s="357"/>
      <c r="E21" s="356" t="s">
        <v>243</v>
      </c>
      <c r="F21" s="349">
        <f>'DETALLE GG'!L63</f>
        <v>31680</v>
      </c>
    </row>
    <row r="22" spans="2:6" s="342" customFormat="1" ht="19.95" customHeight="1" x14ac:dyDescent="0.3">
      <c r="B22" s="356"/>
      <c r="C22" s="347" t="s">
        <v>240</v>
      </c>
      <c r="D22" s="357"/>
      <c r="E22" s="356" t="s">
        <v>243</v>
      </c>
      <c r="F22" s="349">
        <f>'DETALLE GG'!L67</f>
        <v>3000</v>
      </c>
    </row>
    <row r="23" spans="2:6" s="342" customFormat="1" ht="19.95" customHeight="1" x14ac:dyDescent="0.3">
      <c r="B23" s="356"/>
      <c r="C23" s="347" t="s">
        <v>261</v>
      </c>
      <c r="D23" s="357"/>
      <c r="E23" s="356" t="s">
        <v>243</v>
      </c>
      <c r="F23" s="349">
        <f>'DETALLE GG'!L69</f>
        <v>29420</v>
      </c>
    </row>
    <row r="24" spans="2:6" s="342" customFormat="1" ht="19.95" customHeight="1" x14ac:dyDescent="0.3">
      <c r="B24" s="356"/>
      <c r="C24" s="347"/>
      <c r="D24" s="357"/>
      <c r="E24" s="356"/>
      <c r="F24" s="349"/>
    </row>
    <row r="25" spans="2:6" s="342" customFormat="1" ht="19.95" customHeight="1" x14ac:dyDescent="0.3">
      <c r="B25" s="356">
        <v>2</v>
      </c>
      <c r="C25" s="345" t="s">
        <v>14</v>
      </c>
      <c r="D25" s="359"/>
      <c r="E25" s="356" t="s">
        <v>243</v>
      </c>
      <c r="F25" s="358">
        <f>'DETALLE GG'!L74</f>
        <v>55201.062466666663</v>
      </c>
    </row>
    <row r="26" spans="2:6" s="342" customFormat="1" ht="19.95" customHeight="1" x14ac:dyDescent="0.3">
      <c r="B26" s="356"/>
      <c r="C26" s="347" t="s">
        <v>262</v>
      </c>
      <c r="D26" s="357"/>
      <c r="E26" s="356" t="s">
        <v>243</v>
      </c>
      <c r="F26" s="349">
        <f>'DETALLE GG'!L74</f>
        <v>55201.062466666663</v>
      </c>
    </row>
    <row r="27" spans="2:6" s="342" customFormat="1" ht="19.95" customHeight="1" thickBot="1" x14ac:dyDescent="0.35">
      <c r="B27" s="348"/>
      <c r="C27" s="347"/>
      <c r="D27" s="347"/>
      <c r="E27" s="356"/>
      <c r="F27" s="349"/>
    </row>
    <row r="28" spans="2:6" s="342" customFormat="1" ht="19.95" customHeight="1" x14ac:dyDescent="0.3">
      <c r="B28" s="360" t="s">
        <v>263</v>
      </c>
      <c r="C28" s="361" t="s">
        <v>264</v>
      </c>
      <c r="D28" s="361"/>
      <c r="E28" s="362" t="s">
        <v>243</v>
      </c>
      <c r="F28" s="363">
        <f>F25+F12</f>
        <v>425045.7624666667</v>
      </c>
    </row>
    <row r="29" spans="2:6" s="342" customFormat="1" ht="13.8" x14ac:dyDescent="0.3">
      <c r="B29" s="348"/>
      <c r="C29" s="347"/>
      <c r="D29" s="347"/>
      <c r="E29" s="348"/>
      <c r="F29" s="349"/>
    </row>
    <row r="30" spans="2:6" s="342" customFormat="1" ht="13.8" x14ac:dyDescent="0.3">
      <c r="B30" s="345" t="s">
        <v>265</v>
      </c>
      <c r="C30" s="347"/>
      <c r="D30" s="347"/>
      <c r="E30" s="348"/>
      <c r="F30" s="349"/>
    </row>
    <row r="31" spans="2:6" s="342" customFormat="1" ht="13.8" x14ac:dyDescent="0.3">
      <c r="B31" s="364"/>
      <c r="C31" s="364"/>
      <c r="D31" s="364"/>
      <c r="E31" s="365"/>
      <c r="F31" s="366"/>
    </row>
    <row r="32" spans="2:6" s="342" customFormat="1" ht="13.8" x14ac:dyDescent="0.3">
      <c r="B32" s="364"/>
      <c r="C32" s="364"/>
      <c r="D32" s="364"/>
      <c r="E32" s="365"/>
      <c r="F32" s="366"/>
    </row>
    <row r="33" spans="2:6" s="342" customFormat="1" ht="13.8" x14ac:dyDescent="0.3">
      <c r="B33" s="364"/>
      <c r="C33" s="364"/>
      <c r="D33" s="364"/>
      <c r="E33" s="365"/>
      <c r="F33" s="366"/>
    </row>
    <row r="34" spans="2:6" s="342" customFormat="1" ht="13.8" x14ac:dyDescent="0.3">
      <c r="B34" s="364"/>
      <c r="C34" s="364"/>
      <c r="D34" s="364"/>
      <c r="E34" s="365"/>
      <c r="F34" s="366"/>
    </row>
  </sheetData>
  <mergeCells count="1">
    <mergeCell ref="B5:F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D002-C42A-42CC-9441-4F3DFFD0D35C}">
  <dimension ref="B1:O87"/>
  <sheetViews>
    <sheetView showGridLines="0" view="pageBreakPreview" topLeftCell="B3" zoomScale="90" zoomScaleNormal="90" zoomScaleSheetLayoutView="90" workbookViewId="0">
      <pane xSplit="2" ySplit="13" topLeftCell="E78" activePane="bottomRight" state="frozen"/>
      <selection activeCell="B3" sqref="B3"/>
      <selection pane="topRight" activeCell="D3" sqref="D3"/>
      <selection pane="bottomLeft" activeCell="B16" sqref="B16"/>
      <selection pane="bottomRight" activeCell="Z39" sqref="Z39"/>
    </sheetView>
  </sheetViews>
  <sheetFormatPr baseColWidth="10" defaultColWidth="11.5546875" defaultRowHeight="15" customHeight="1" outlineLevelRow="1" x14ac:dyDescent="0.3"/>
  <cols>
    <col min="1" max="1" width="2" style="83" customWidth="1"/>
    <col min="2" max="2" width="9.6640625" style="83" customWidth="1"/>
    <col min="3" max="3" width="53.33203125" style="83" customWidth="1"/>
    <col min="4" max="4" width="9" style="83" customWidth="1"/>
    <col min="5" max="7" width="3.33203125" style="83" customWidth="1"/>
    <col min="8" max="8" width="12.5546875" style="83" customWidth="1"/>
    <col min="9" max="12" width="12.88671875" style="83" customWidth="1"/>
    <col min="13" max="16" width="0" style="83" hidden="1" customWidth="1"/>
    <col min="17" max="16384" width="11.5546875" style="83"/>
  </cols>
  <sheetData>
    <row r="1" spans="2:14" ht="10.199999999999999" x14ac:dyDescent="0.3"/>
    <row r="2" spans="2:14" ht="10.199999999999999" x14ac:dyDescent="0.3"/>
    <row r="3" spans="2:14" ht="10.199999999999999" x14ac:dyDescent="0.3"/>
    <row r="4" spans="2:14" ht="10.199999999999999" x14ac:dyDescent="0.3"/>
    <row r="5" spans="2:14" ht="10.199999999999999" x14ac:dyDescent="0.3"/>
    <row r="6" spans="2:14" ht="10.199999999999999" x14ac:dyDescent="0.3"/>
    <row r="7" spans="2:14" ht="18.75" customHeight="1" x14ac:dyDescent="0.3">
      <c r="B7" s="242" t="s">
        <v>288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</row>
    <row r="8" spans="2:14" ht="17.399999999999999" x14ac:dyDescent="0.3">
      <c r="B8" s="209" t="str">
        <f>'DATOS GENERALES'!D13</f>
        <v>PROYECTO:</v>
      </c>
      <c r="C8" s="209" t="str">
        <f>'DATOS GENERALES'!G13</f>
        <v>DEFENSAS RIBEREÑAS DEL RIO LACRAMARCA - PAQUETE R-07 - QDA PAMPA DEL TORO</v>
      </c>
      <c r="D8" s="224"/>
      <c r="E8" s="224"/>
      <c r="F8" s="224"/>
      <c r="G8" s="224"/>
      <c r="H8" s="224"/>
      <c r="I8" s="224"/>
      <c r="J8" s="224"/>
      <c r="K8" s="224"/>
      <c r="L8" s="224"/>
    </row>
    <row r="9" spans="2:14" ht="17.399999999999999" x14ac:dyDescent="0.3">
      <c r="B9" s="209" t="str">
        <f>'DATOS GENERALES'!D16</f>
        <v>CONTRATO:</v>
      </c>
      <c r="C9" s="209" t="str">
        <f>'DATOS GENERALES'!G16</f>
        <v>EJECUCION DE OBRA</v>
      </c>
      <c r="D9" s="224"/>
      <c r="E9" s="224"/>
      <c r="F9" s="224"/>
      <c r="G9" s="224"/>
      <c r="H9" s="224"/>
      <c r="I9" s="209" t="str">
        <f>'DATOS GENERALES'!D22</f>
        <v>FECHA DE PRESENTACION DE OFERTTA:</v>
      </c>
      <c r="J9" s="208"/>
      <c r="K9" s="224"/>
      <c r="L9" s="225">
        <f>'DATOS GENERALES'!G22</f>
        <v>44843</v>
      </c>
    </row>
    <row r="10" spans="2:14" ht="10.8" thickBot="1" x14ac:dyDescent="0.35"/>
    <row r="11" spans="2:14" ht="21" customHeight="1" x14ac:dyDescent="0.3">
      <c r="B11" s="84" t="s">
        <v>172</v>
      </c>
      <c r="C11" s="85"/>
      <c r="D11" s="86"/>
      <c r="E11" s="87" t="s">
        <v>173</v>
      </c>
      <c r="F11" s="85"/>
      <c r="G11" s="85"/>
      <c r="H11" s="86"/>
      <c r="I11" s="87" t="s">
        <v>174</v>
      </c>
      <c r="J11" s="85"/>
      <c r="K11" s="86"/>
      <c r="L11" s="245" t="s">
        <v>175</v>
      </c>
    </row>
    <row r="12" spans="2:14" ht="42.6" customHeight="1" thickBot="1" x14ac:dyDescent="0.35">
      <c r="B12" s="88" t="s">
        <v>176</v>
      </c>
      <c r="C12" s="89" t="s">
        <v>177</v>
      </c>
      <c r="D12" s="90" t="s">
        <v>178</v>
      </c>
      <c r="E12" s="90">
        <v>1</v>
      </c>
      <c r="F12" s="91">
        <f>+E12+1</f>
        <v>2</v>
      </c>
      <c r="G12" s="91">
        <f t="shared" ref="G12" si="0">+F12+1</f>
        <v>3</v>
      </c>
      <c r="H12" s="92" t="s">
        <v>179</v>
      </c>
      <c r="I12" s="93" t="s">
        <v>180</v>
      </c>
      <c r="J12" s="94" t="s">
        <v>181</v>
      </c>
      <c r="K12" s="95" t="s">
        <v>182</v>
      </c>
      <c r="L12" s="246"/>
    </row>
    <row r="13" spans="2:14" ht="17.7" customHeight="1" x14ac:dyDescent="0.3">
      <c r="B13" s="96" t="s">
        <v>183</v>
      </c>
      <c r="C13" s="97" t="s">
        <v>184</v>
      </c>
      <c r="D13" s="98"/>
      <c r="E13" s="99"/>
      <c r="F13" s="100"/>
      <c r="G13" s="100"/>
      <c r="H13" s="101"/>
      <c r="I13" s="102"/>
      <c r="J13" s="103"/>
      <c r="K13" s="104"/>
      <c r="L13" s="105">
        <f>+SUM(L14,L38)</f>
        <v>157237.5</v>
      </c>
    </row>
    <row r="14" spans="2:14" ht="17.7" customHeight="1" x14ac:dyDescent="0.3">
      <c r="B14" s="106" t="s">
        <v>185</v>
      </c>
      <c r="C14" s="107" t="s">
        <v>186</v>
      </c>
      <c r="D14" s="108"/>
      <c r="E14" s="109"/>
      <c r="F14" s="110"/>
      <c r="G14" s="110"/>
      <c r="H14" s="111"/>
      <c r="I14" s="112"/>
      <c r="J14" s="113"/>
      <c r="K14" s="114"/>
      <c r="L14" s="115">
        <f>L15+L17+L20+L22+L26+L29+L31+L33+L36</f>
        <v>124837.5</v>
      </c>
    </row>
    <row r="15" spans="2:14" ht="17.7" customHeight="1" outlineLevel="1" x14ac:dyDescent="0.3">
      <c r="B15" s="116">
        <v>1</v>
      </c>
      <c r="C15" s="117" t="s">
        <v>266</v>
      </c>
      <c r="D15" s="118"/>
      <c r="E15" s="119"/>
      <c r="F15" s="120"/>
      <c r="G15" s="120"/>
      <c r="H15" s="121"/>
      <c r="I15" s="122"/>
      <c r="J15" s="123"/>
      <c r="K15" s="124"/>
      <c r="L15" s="125">
        <f>SUM(L16:L16)</f>
        <v>19500</v>
      </c>
    </row>
    <row r="16" spans="2:14" ht="17.7" customHeight="1" outlineLevel="1" x14ac:dyDescent="0.3">
      <c r="B16" s="126">
        <v>1.1000000000000001</v>
      </c>
      <c r="C16" s="127" t="s">
        <v>270</v>
      </c>
      <c r="D16" s="128" t="s">
        <v>187</v>
      </c>
      <c r="E16" s="129"/>
      <c r="F16" s="130">
        <v>1</v>
      </c>
      <c r="G16" s="130"/>
      <c r="H16" s="131">
        <f>+SUM(E16:G16)</f>
        <v>1</v>
      </c>
      <c r="I16" s="132">
        <v>13000</v>
      </c>
      <c r="J16" s="133">
        <f>I16*0.5</f>
        <v>6500</v>
      </c>
      <c r="K16" s="134">
        <f>J16+I16</f>
        <v>19500</v>
      </c>
      <c r="L16" s="135">
        <f>H16*K16</f>
        <v>19500</v>
      </c>
      <c r="N16" s="83">
        <f>F16</f>
        <v>1</v>
      </c>
    </row>
    <row r="17" spans="2:14" ht="17.7" customHeight="1" outlineLevel="1" x14ac:dyDescent="0.3">
      <c r="B17" s="141">
        <v>2</v>
      </c>
      <c r="C17" s="142" t="s">
        <v>188</v>
      </c>
      <c r="D17" s="144"/>
      <c r="E17" s="145"/>
      <c r="F17" s="146"/>
      <c r="G17" s="146"/>
      <c r="H17" s="147"/>
      <c r="I17" s="148"/>
      <c r="J17" s="149"/>
      <c r="K17" s="150"/>
      <c r="L17" s="151">
        <f>SUM(L18:L19)</f>
        <v>17250</v>
      </c>
    </row>
    <row r="18" spans="2:14" ht="17.7" customHeight="1" outlineLevel="1" x14ac:dyDescent="0.3">
      <c r="B18" s="126">
        <v>2.1</v>
      </c>
      <c r="C18" s="127" t="s">
        <v>189</v>
      </c>
      <c r="D18" s="128" t="s">
        <v>187</v>
      </c>
      <c r="E18" s="129"/>
      <c r="F18" s="130">
        <v>1</v>
      </c>
      <c r="G18" s="130"/>
      <c r="H18" s="131">
        <f>+SUM(E18:G18)</f>
        <v>1</v>
      </c>
      <c r="I18" s="132">
        <v>6500</v>
      </c>
      <c r="J18" s="133">
        <f t="shared" ref="J18:J19" si="1">I18*0.5</f>
        <v>3250</v>
      </c>
      <c r="K18" s="134">
        <f t="shared" ref="K18:K19" si="2">J18+I18</f>
        <v>9750</v>
      </c>
      <c r="L18" s="135">
        <f t="shared" ref="L18:L19" si="3">H18*K18</f>
        <v>9750</v>
      </c>
    </row>
    <row r="19" spans="2:14" ht="17.7" customHeight="1" outlineLevel="1" x14ac:dyDescent="0.3">
      <c r="B19" s="126">
        <v>2.2000000000000002</v>
      </c>
      <c r="C19" s="127" t="s">
        <v>190</v>
      </c>
      <c r="D19" s="128" t="s">
        <v>187</v>
      </c>
      <c r="E19" s="129"/>
      <c r="F19" s="130">
        <v>1</v>
      </c>
      <c r="G19" s="130"/>
      <c r="H19" s="131">
        <f>+SUM(E19:G19)</f>
        <v>1</v>
      </c>
      <c r="I19" s="132">
        <v>5000</v>
      </c>
      <c r="J19" s="133">
        <f t="shared" si="1"/>
        <v>2500</v>
      </c>
      <c r="K19" s="134">
        <f t="shared" si="2"/>
        <v>7500</v>
      </c>
      <c r="L19" s="135">
        <f t="shared" si="3"/>
        <v>7500</v>
      </c>
      <c r="N19" s="83">
        <f>SUM(F18:F19)</f>
        <v>2</v>
      </c>
    </row>
    <row r="20" spans="2:14" ht="17.7" customHeight="1" outlineLevel="1" x14ac:dyDescent="0.3">
      <c r="B20" s="141">
        <v>3</v>
      </c>
      <c r="C20" s="142" t="s">
        <v>191</v>
      </c>
      <c r="D20" s="144"/>
      <c r="E20" s="145"/>
      <c r="F20" s="146"/>
      <c r="G20" s="146"/>
      <c r="H20" s="147"/>
      <c r="I20" s="148"/>
      <c r="J20" s="149"/>
      <c r="K20" s="150"/>
      <c r="L20" s="151">
        <f>SUM(L21:L21)</f>
        <v>9750</v>
      </c>
    </row>
    <row r="21" spans="2:14" ht="17.7" customHeight="1" outlineLevel="1" x14ac:dyDescent="0.3">
      <c r="B21" s="126">
        <v>3.1</v>
      </c>
      <c r="C21" s="127" t="s">
        <v>192</v>
      </c>
      <c r="D21" s="128" t="s">
        <v>187</v>
      </c>
      <c r="E21" s="129"/>
      <c r="F21" s="130">
        <v>1</v>
      </c>
      <c r="G21" s="130"/>
      <c r="H21" s="131">
        <f>+SUM(E21:G21)</f>
        <v>1</v>
      </c>
      <c r="I21" s="132">
        <v>6500</v>
      </c>
      <c r="J21" s="133">
        <f t="shared" ref="J21" si="4">I21*0.5</f>
        <v>3250</v>
      </c>
      <c r="K21" s="134">
        <f t="shared" ref="K21" si="5">J21+I21</f>
        <v>9750</v>
      </c>
      <c r="L21" s="135">
        <f t="shared" ref="L21" si="6">H21*K21</f>
        <v>9750</v>
      </c>
      <c r="N21" s="83">
        <f>F21</f>
        <v>1</v>
      </c>
    </row>
    <row r="22" spans="2:14" ht="17.7" customHeight="1" outlineLevel="1" x14ac:dyDescent="0.3">
      <c r="B22" s="141">
        <v>4</v>
      </c>
      <c r="C22" s="142" t="s">
        <v>193</v>
      </c>
      <c r="D22" s="144"/>
      <c r="E22" s="145"/>
      <c r="F22" s="146"/>
      <c r="G22" s="146"/>
      <c r="H22" s="147"/>
      <c r="I22" s="148"/>
      <c r="J22" s="149"/>
      <c r="K22" s="150"/>
      <c r="L22" s="151">
        <f>SUM(L23:L25)</f>
        <v>23400</v>
      </c>
    </row>
    <row r="23" spans="2:14" ht="17.7" customHeight="1" outlineLevel="1" x14ac:dyDescent="0.3">
      <c r="B23" s="152">
        <v>4.0999999999999996</v>
      </c>
      <c r="C23" s="127" t="s">
        <v>194</v>
      </c>
      <c r="D23" s="128" t="s">
        <v>187</v>
      </c>
      <c r="E23" s="129"/>
      <c r="F23" s="130">
        <v>1</v>
      </c>
      <c r="G23" s="130"/>
      <c r="H23" s="131">
        <f>+SUM(E23:G23)</f>
        <v>1</v>
      </c>
      <c r="I23" s="132">
        <v>6500</v>
      </c>
      <c r="J23" s="133">
        <f t="shared" ref="J23:J25" si="7">I23*0.5</f>
        <v>3250</v>
      </c>
      <c r="K23" s="134">
        <f t="shared" ref="K23:K25" si="8">J23+I23</f>
        <v>9750</v>
      </c>
      <c r="L23" s="135">
        <f t="shared" ref="L23:L25" si="9">H23*K23</f>
        <v>9750</v>
      </c>
    </row>
    <row r="24" spans="2:14" ht="17.7" customHeight="1" outlineLevel="1" x14ac:dyDescent="0.3">
      <c r="B24" s="152">
        <v>4.2</v>
      </c>
      <c r="C24" s="127" t="s">
        <v>195</v>
      </c>
      <c r="D24" s="128" t="s">
        <v>187</v>
      </c>
      <c r="E24" s="129">
        <v>0.3</v>
      </c>
      <c r="F24" s="130">
        <v>1</v>
      </c>
      <c r="G24" s="130"/>
      <c r="H24" s="131">
        <f>+SUM(E24:G24)</f>
        <v>1.3</v>
      </c>
      <c r="I24" s="132">
        <v>3500</v>
      </c>
      <c r="J24" s="133">
        <f t="shared" si="7"/>
        <v>1750</v>
      </c>
      <c r="K24" s="134">
        <f t="shared" si="8"/>
        <v>5250</v>
      </c>
      <c r="L24" s="135">
        <f t="shared" si="9"/>
        <v>6825</v>
      </c>
    </row>
    <row r="25" spans="2:14" ht="17.7" customHeight="1" outlineLevel="1" x14ac:dyDescent="0.3">
      <c r="B25" s="152">
        <v>4.3</v>
      </c>
      <c r="C25" s="127" t="s">
        <v>196</v>
      </c>
      <c r="D25" s="128" t="s">
        <v>187</v>
      </c>
      <c r="E25" s="129">
        <v>0.3</v>
      </c>
      <c r="F25" s="130">
        <v>1</v>
      </c>
      <c r="G25" s="130"/>
      <c r="H25" s="131">
        <f>+SUM(E25:G25)</f>
        <v>1.3</v>
      </c>
      <c r="I25" s="132">
        <v>3500</v>
      </c>
      <c r="J25" s="133">
        <f t="shared" si="7"/>
        <v>1750</v>
      </c>
      <c r="K25" s="134">
        <f t="shared" si="8"/>
        <v>5250</v>
      </c>
      <c r="L25" s="135">
        <f t="shared" si="9"/>
        <v>6825</v>
      </c>
      <c r="N25" s="83">
        <f>SUM(F23:F25)</f>
        <v>3</v>
      </c>
    </row>
    <row r="26" spans="2:14" ht="17.7" customHeight="1" outlineLevel="1" x14ac:dyDescent="0.3">
      <c r="B26" s="141">
        <v>5</v>
      </c>
      <c r="C26" s="142" t="s">
        <v>197</v>
      </c>
      <c r="D26" s="144"/>
      <c r="E26" s="145"/>
      <c r="F26" s="146"/>
      <c r="G26" s="146"/>
      <c r="H26" s="147"/>
      <c r="I26" s="148"/>
      <c r="J26" s="149"/>
      <c r="K26" s="150"/>
      <c r="L26" s="151">
        <f>SUM(L27:L28)</f>
        <v>15000</v>
      </c>
    </row>
    <row r="27" spans="2:14" ht="17.7" customHeight="1" outlineLevel="1" x14ac:dyDescent="0.3">
      <c r="B27" s="126">
        <v>5.0999999999999996</v>
      </c>
      <c r="C27" s="127" t="s">
        <v>198</v>
      </c>
      <c r="D27" s="128" t="s">
        <v>187</v>
      </c>
      <c r="E27" s="129"/>
      <c r="F27" s="130">
        <v>1</v>
      </c>
      <c r="G27" s="130"/>
      <c r="H27" s="131">
        <f>+SUM(E27:G27)</f>
        <v>1</v>
      </c>
      <c r="I27" s="132">
        <v>6500</v>
      </c>
      <c r="J27" s="133">
        <f t="shared" ref="J27:J28" si="10">I27*0.5</f>
        <v>3250</v>
      </c>
      <c r="K27" s="134">
        <f t="shared" ref="K27:K28" si="11">J27+I27</f>
        <v>9750</v>
      </c>
      <c r="L27" s="135">
        <f t="shared" ref="L27:L28" si="12">H27*K27</f>
        <v>9750</v>
      </c>
    </row>
    <row r="28" spans="2:14" ht="17.7" customHeight="1" outlineLevel="1" x14ac:dyDescent="0.3">
      <c r="B28" s="126">
        <v>5.2</v>
      </c>
      <c r="C28" s="127" t="s">
        <v>199</v>
      </c>
      <c r="D28" s="128" t="s">
        <v>187</v>
      </c>
      <c r="E28" s="129"/>
      <c r="F28" s="130">
        <v>1</v>
      </c>
      <c r="G28" s="130"/>
      <c r="H28" s="131">
        <f>+SUM(E28:G28)</f>
        <v>1</v>
      </c>
      <c r="I28" s="132">
        <v>3500</v>
      </c>
      <c r="J28" s="133">
        <f t="shared" si="10"/>
        <v>1750</v>
      </c>
      <c r="K28" s="134">
        <f t="shared" si="11"/>
        <v>5250</v>
      </c>
      <c r="L28" s="135">
        <f t="shared" si="12"/>
        <v>5250</v>
      </c>
      <c r="N28" s="83">
        <f>F28+F27</f>
        <v>2</v>
      </c>
    </row>
    <row r="29" spans="2:14" ht="17.7" customHeight="1" outlineLevel="1" x14ac:dyDescent="0.3">
      <c r="B29" s="141">
        <v>6</v>
      </c>
      <c r="C29" s="142" t="s">
        <v>200</v>
      </c>
      <c r="D29" s="144"/>
      <c r="E29" s="145"/>
      <c r="F29" s="146"/>
      <c r="G29" s="146"/>
      <c r="H29" s="147"/>
      <c r="I29" s="148"/>
      <c r="J29" s="149"/>
      <c r="K29" s="150"/>
      <c r="L29" s="151">
        <f>SUM(L30:L30)</f>
        <v>9750</v>
      </c>
    </row>
    <row r="30" spans="2:14" ht="17.7" customHeight="1" outlineLevel="1" x14ac:dyDescent="0.3">
      <c r="B30" s="126">
        <v>6.1</v>
      </c>
      <c r="C30" s="127" t="s">
        <v>201</v>
      </c>
      <c r="D30" s="128" t="s">
        <v>187</v>
      </c>
      <c r="E30" s="129"/>
      <c r="F30" s="130">
        <v>1</v>
      </c>
      <c r="G30" s="130"/>
      <c r="H30" s="131">
        <f>+SUM(E30:G30)</f>
        <v>1</v>
      </c>
      <c r="I30" s="132">
        <v>6500</v>
      </c>
      <c r="J30" s="133">
        <f t="shared" ref="J30" si="13">I30*0.5</f>
        <v>3250</v>
      </c>
      <c r="K30" s="134">
        <f t="shared" ref="K30" si="14">J30+I30</f>
        <v>9750</v>
      </c>
      <c r="L30" s="135">
        <f t="shared" ref="L30" si="15">H30*K30</f>
        <v>9750</v>
      </c>
      <c r="N30" s="83">
        <f>F30</f>
        <v>1</v>
      </c>
    </row>
    <row r="31" spans="2:14" ht="17.7" customHeight="1" outlineLevel="1" x14ac:dyDescent="0.3">
      <c r="B31" s="222">
        <v>7</v>
      </c>
      <c r="C31" s="142" t="s">
        <v>202</v>
      </c>
      <c r="D31" s="144"/>
      <c r="E31" s="145"/>
      <c r="F31" s="146"/>
      <c r="G31" s="146"/>
      <c r="H31" s="147"/>
      <c r="I31" s="148"/>
      <c r="J31" s="149"/>
      <c r="K31" s="150"/>
      <c r="L31" s="151">
        <f>L32</f>
        <v>7875</v>
      </c>
    </row>
    <row r="32" spans="2:14" ht="17.7" customHeight="1" outlineLevel="1" x14ac:dyDescent="0.3">
      <c r="B32" s="126">
        <v>7.1</v>
      </c>
      <c r="C32" s="127" t="s">
        <v>205</v>
      </c>
      <c r="D32" s="128" t="s">
        <v>187</v>
      </c>
      <c r="E32" s="129">
        <v>0.5</v>
      </c>
      <c r="F32" s="130">
        <v>1</v>
      </c>
      <c r="G32" s="130"/>
      <c r="H32" s="131">
        <f>+SUM(E32:G32)</f>
        <v>1.5</v>
      </c>
      <c r="I32" s="132">
        <v>3500</v>
      </c>
      <c r="J32" s="133">
        <f>I32*0.5</f>
        <v>1750</v>
      </c>
      <c r="K32" s="134">
        <f>J32+I32</f>
        <v>5250</v>
      </c>
      <c r="L32" s="135">
        <f>H32*K32</f>
        <v>7875</v>
      </c>
      <c r="N32" s="83">
        <f>F32</f>
        <v>1</v>
      </c>
    </row>
    <row r="33" spans="2:15" ht="17.7" customHeight="1" outlineLevel="1" x14ac:dyDescent="0.3">
      <c r="B33" s="141">
        <v>8</v>
      </c>
      <c r="C33" s="142" t="s">
        <v>203</v>
      </c>
      <c r="D33" s="144"/>
      <c r="E33" s="145"/>
      <c r="F33" s="146"/>
      <c r="G33" s="146"/>
      <c r="H33" s="147"/>
      <c r="I33" s="148"/>
      <c r="J33" s="149"/>
      <c r="K33" s="150"/>
      <c r="L33" s="151">
        <f>SUM(L34:L35)</f>
        <v>15750</v>
      </c>
    </row>
    <row r="34" spans="2:15" ht="17.7" customHeight="1" outlineLevel="1" x14ac:dyDescent="0.3">
      <c r="B34" s="126">
        <v>8.1</v>
      </c>
      <c r="C34" s="127" t="s">
        <v>204</v>
      </c>
      <c r="D34" s="128" t="s">
        <v>187</v>
      </c>
      <c r="E34" s="129">
        <v>0.5</v>
      </c>
      <c r="F34" s="130">
        <v>1</v>
      </c>
      <c r="G34" s="130"/>
      <c r="H34" s="131">
        <f>+SUM(E34:G34)</f>
        <v>1.5</v>
      </c>
      <c r="I34" s="132">
        <v>3500</v>
      </c>
      <c r="J34" s="133">
        <f t="shared" ref="J34:J35" si="16">I34*0.5</f>
        <v>1750</v>
      </c>
      <c r="K34" s="134">
        <f t="shared" ref="K34:K35" si="17">J34+I34</f>
        <v>5250</v>
      </c>
      <c r="L34" s="135">
        <f t="shared" ref="L34:L35" si="18">H34*K34</f>
        <v>7875</v>
      </c>
    </row>
    <row r="35" spans="2:15" ht="17.7" customHeight="1" outlineLevel="1" x14ac:dyDescent="0.3">
      <c r="B35" s="126">
        <v>8.1999999999999993</v>
      </c>
      <c r="C35" s="127" t="s">
        <v>271</v>
      </c>
      <c r="D35" s="128" t="s">
        <v>187</v>
      </c>
      <c r="E35" s="129">
        <v>0.5</v>
      </c>
      <c r="F35" s="130">
        <v>1</v>
      </c>
      <c r="G35" s="130"/>
      <c r="H35" s="131">
        <f>+SUM(E35:G35)</f>
        <v>1.5</v>
      </c>
      <c r="I35" s="132">
        <v>3500</v>
      </c>
      <c r="J35" s="133">
        <f t="shared" si="16"/>
        <v>1750</v>
      </c>
      <c r="K35" s="134">
        <f t="shared" si="17"/>
        <v>5250</v>
      </c>
      <c r="L35" s="135">
        <f t="shared" si="18"/>
        <v>7875</v>
      </c>
      <c r="N35" s="83">
        <f>SUM(F34:F37)</f>
        <v>3</v>
      </c>
    </row>
    <row r="36" spans="2:15" ht="17.7" customHeight="1" outlineLevel="1" x14ac:dyDescent="0.3">
      <c r="B36" s="141">
        <v>9</v>
      </c>
      <c r="C36" s="142" t="s">
        <v>206</v>
      </c>
      <c r="D36" s="144"/>
      <c r="E36" s="145"/>
      <c r="F36" s="146"/>
      <c r="G36" s="146"/>
      <c r="H36" s="147"/>
      <c r="I36" s="148"/>
      <c r="J36" s="149"/>
      <c r="K36" s="150"/>
      <c r="L36" s="151">
        <f>SUM(L37:L37)</f>
        <v>6562.5</v>
      </c>
    </row>
    <row r="37" spans="2:15" ht="17.7" customHeight="1" outlineLevel="1" x14ac:dyDescent="0.3">
      <c r="B37" s="126">
        <v>9.1</v>
      </c>
      <c r="C37" s="153" t="s">
        <v>272</v>
      </c>
      <c r="D37" s="128" t="s">
        <v>187</v>
      </c>
      <c r="E37" s="129">
        <v>0.25</v>
      </c>
      <c r="F37" s="130">
        <v>1</v>
      </c>
      <c r="G37" s="130"/>
      <c r="H37" s="131">
        <f>+SUM(E37:G37)</f>
        <v>1.25</v>
      </c>
      <c r="I37" s="132">
        <v>3500</v>
      </c>
      <c r="J37" s="133">
        <f t="shared" ref="J37" si="19">I37*0.5</f>
        <v>1750</v>
      </c>
      <c r="K37" s="134">
        <f t="shared" ref="K37" si="20">J37+I37</f>
        <v>5250</v>
      </c>
      <c r="L37" s="135">
        <f t="shared" ref="L37" si="21">H37*K37</f>
        <v>6562.5</v>
      </c>
      <c r="N37" s="83">
        <f>F37</f>
        <v>1</v>
      </c>
      <c r="O37" s="83">
        <f>SUM(N14:N37)</f>
        <v>15</v>
      </c>
    </row>
    <row r="38" spans="2:15" ht="17.7" customHeight="1" x14ac:dyDescent="0.3">
      <c r="B38" s="106" t="s">
        <v>207</v>
      </c>
      <c r="C38" s="107" t="s">
        <v>208</v>
      </c>
      <c r="D38" s="108"/>
      <c r="E38" s="109"/>
      <c r="F38" s="110"/>
      <c r="G38" s="110"/>
      <c r="H38" s="111"/>
      <c r="I38" s="112"/>
      <c r="J38" s="113"/>
      <c r="K38" s="114"/>
      <c r="L38" s="115">
        <f>L39</f>
        <v>32400</v>
      </c>
    </row>
    <row r="39" spans="2:15" ht="17.7" customHeight="1" outlineLevel="1" x14ac:dyDescent="0.3">
      <c r="B39" s="141">
        <v>1</v>
      </c>
      <c r="C39" s="142" t="s">
        <v>209</v>
      </c>
      <c r="D39" s="144"/>
      <c r="E39" s="145"/>
      <c r="F39" s="146"/>
      <c r="G39" s="146"/>
      <c r="H39" s="147"/>
      <c r="I39" s="148"/>
      <c r="J39" s="149"/>
      <c r="K39" s="150"/>
      <c r="L39" s="151">
        <f>SUM(L40:L43)</f>
        <v>32400</v>
      </c>
    </row>
    <row r="40" spans="2:15" ht="17.7" customHeight="1" outlineLevel="1" x14ac:dyDescent="0.3">
      <c r="B40" s="152">
        <v>1.1000000000000001</v>
      </c>
      <c r="C40" s="153" t="s">
        <v>210</v>
      </c>
      <c r="D40" s="154" t="s">
        <v>187</v>
      </c>
      <c r="E40" s="129"/>
      <c r="F40" s="130">
        <v>1</v>
      </c>
      <c r="G40" s="130"/>
      <c r="H40" s="131">
        <f>+SUM(E40:G40)</f>
        <v>1</v>
      </c>
      <c r="I40" s="216">
        <v>2400</v>
      </c>
      <c r="J40" s="217">
        <f t="shared" ref="J40:J43" si="22">I40*0.5</f>
        <v>1200</v>
      </c>
      <c r="K40" s="176">
        <f t="shared" ref="K40:K43" si="23">J40+I40</f>
        <v>3600</v>
      </c>
      <c r="L40" s="135">
        <f t="shared" ref="L40:L43" si="24">H40*K40</f>
        <v>3600</v>
      </c>
    </row>
    <row r="41" spans="2:15" ht="17.7" customHeight="1" outlineLevel="1" x14ac:dyDescent="0.3">
      <c r="B41" s="152">
        <v>1.2</v>
      </c>
      <c r="C41" s="153" t="s">
        <v>211</v>
      </c>
      <c r="D41" s="154" t="s">
        <v>187</v>
      </c>
      <c r="E41" s="129"/>
      <c r="F41" s="130">
        <v>2</v>
      </c>
      <c r="G41" s="130"/>
      <c r="H41" s="131">
        <f>+SUM(E41:G41)</f>
        <v>2</v>
      </c>
      <c r="I41" s="216">
        <v>2400</v>
      </c>
      <c r="J41" s="217">
        <f t="shared" si="22"/>
        <v>1200</v>
      </c>
      <c r="K41" s="176">
        <f t="shared" si="23"/>
        <v>3600</v>
      </c>
      <c r="L41" s="135">
        <f t="shared" si="24"/>
        <v>7200</v>
      </c>
    </row>
    <row r="42" spans="2:15" ht="17.7" customHeight="1" outlineLevel="1" x14ac:dyDescent="0.3">
      <c r="B42" s="152">
        <v>1.3</v>
      </c>
      <c r="C42" s="153" t="s">
        <v>212</v>
      </c>
      <c r="D42" s="154" t="s">
        <v>187</v>
      </c>
      <c r="E42" s="129"/>
      <c r="F42" s="130">
        <v>2</v>
      </c>
      <c r="G42" s="130"/>
      <c r="H42" s="131">
        <f>+SUM(E42:G42)</f>
        <v>2</v>
      </c>
      <c r="I42" s="216">
        <v>2400</v>
      </c>
      <c r="J42" s="217">
        <f t="shared" si="22"/>
        <v>1200</v>
      </c>
      <c r="K42" s="176">
        <f t="shared" si="23"/>
        <v>3600</v>
      </c>
      <c r="L42" s="135">
        <f t="shared" si="24"/>
        <v>7200</v>
      </c>
    </row>
    <row r="43" spans="2:15" ht="17.7" customHeight="1" outlineLevel="1" x14ac:dyDescent="0.3">
      <c r="B43" s="155">
        <v>1.4</v>
      </c>
      <c r="C43" s="156" t="s">
        <v>213</v>
      </c>
      <c r="D43" s="154" t="s">
        <v>187</v>
      </c>
      <c r="E43" s="129"/>
      <c r="F43" s="130">
        <v>4</v>
      </c>
      <c r="G43" s="130"/>
      <c r="H43" s="131">
        <f>+SUM(E43:G43)</f>
        <v>4</v>
      </c>
      <c r="I43" s="216">
        <v>2400</v>
      </c>
      <c r="J43" s="217">
        <f t="shared" si="22"/>
        <v>1200</v>
      </c>
      <c r="K43" s="176">
        <f t="shared" si="23"/>
        <v>3600</v>
      </c>
      <c r="L43" s="135">
        <f t="shared" si="24"/>
        <v>14400</v>
      </c>
      <c r="N43" s="202">
        <f>SUM(H40:H43)</f>
        <v>9</v>
      </c>
      <c r="O43" s="202">
        <f>N43+N46</f>
        <v>14</v>
      </c>
    </row>
    <row r="44" spans="2:15" ht="17.7" customHeight="1" x14ac:dyDescent="0.3">
      <c r="B44" s="157" t="s">
        <v>214</v>
      </c>
      <c r="C44" s="158" t="s">
        <v>215</v>
      </c>
      <c r="D44" s="159"/>
      <c r="E44" s="160"/>
      <c r="F44" s="161"/>
      <c r="G44" s="161"/>
      <c r="H44" s="162"/>
      <c r="I44" s="163"/>
      <c r="J44" s="164"/>
      <c r="K44" s="165"/>
      <c r="L44" s="166">
        <f>SUM(L45:L46)</f>
        <v>110328</v>
      </c>
    </row>
    <row r="45" spans="2:15" ht="17.7" customHeight="1" outlineLevel="1" x14ac:dyDescent="0.3">
      <c r="B45" s="126">
        <v>1.1000000000000001</v>
      </c>
      <c r="C45" s="127" t="s">
        <v>267</v>
      </c>
      <c r="D45" s="128" t="s">
        <v>216</v>
      </c>
      <c r="E45" s="129">
        <v>2</v>
      </c>
      <c r="F45" s="130">
        <v>2</v>
      </c>
      <c r="G45" s="130"/>
      <c r="H45" s="131">
        <f>+SUM(E45:G45)</f>
        <v>4</v>
      </c>
      <c r="I45" s="216">
        <f>((1650*3.88)+(2400*1.5)+(15*30*16.5))</f>
        <v>17427</v>
      </c>
      <c r="J45" s="168"/>
      <c r="K45" s="176">
        <f t="shared" ref="K45:K46" si="25">J45+I45</f>
        <v>17427</v>
      </c>
      <c r="L45" s="135">
        <f t="shared" ref="L45:L46" si="26">H45*K45</f>
        <v>69708</v>
      </c>
    </row>
    <row r="46" spans="2:15" ht="17.7" customHeight="1" outlineLevel="1" x14ac:dyDescent="0.3">
      <c r="B46" s="126">
        <v>1.2</v>
      </c>
      <c r="C46" s="153" t="s">
        <v>268</v>
      </c>
      <c r="D46" s="128" t="s">
        <v>216</v>
      </c>
      <c r="E46" s="129">
        <v>0.5</v>
      </c>
      <c r="F46" s="130">
        <v>1</v>
      </c>
      <c r="G46" s="130"/>
      <c r="H46" s="131">
        <f>+SUM(E46:G46)</f>
        <v>1.5</v>
      </c>
      <c r="I46" s="216">
        <f>((3500*3.88)+(2400*1.5)+(20*30*16.5))</f>
        <v>27080</v>
      </c>
      <c r="J46" s="168"/>
      <c r="K46" s="176">
        <f t="shared" si="25"/>
        <v>27080</v>
      </c>
      <c r="L46" s="135">
        <f t="shared" si="26"/>
        <v>40620</v>
      </c>
      <c r="N46" s="83">
        <v>5</v>
      </c>
    </row>
    <row r="47" spans="2:15" ht="17.7" customHeight="1" x14ac:dyDescent="0.3">
      <c r="B47" s="157" t="s">
        <v>217</v>
      </c>
      <c r="C47" s="158" t="s">
        <v>218</v>
      </c>
      <c r="D47" s="159"/>
      <c r="E47" s="160"/>
      <c r="F47" s="161"/>
      <c r="G47" s="161"/>
      <c r="H47" s="162"/>
      <c r="I47" s="163"/>
      <c r="J47" s="164"/>
      <c r="K47" s="165"/>
      <c r="L47" s="166">
        <f>L48+L50+L52</f>
        <v>19609.2</v>
      </c>
    </row>
    <row r="48" spans="2:15" ht="17.7" customHeight="1" outlineLevel="1" x14ac:dyDescent="0.3">
      <c r="B48" s="171">
        <v>1</v>
      </c>
      <c r="C48" s="169" t="s">
        <v>219</v>
      </c>
      <c r="D48" s="128"/>
      <c r="E48" s="129"/>
      <c r="F48" s="130"/>
      <c r="G48" s="130"/>
      <c r="H48" s="131"/>
      <c r="I48" s="167"/>
      <c r="J48" s="168"/>
      <c r="K48" s="134"/>
      <c r="L48" s="170">
        <f>SUM(L49)</f>
        <v>2500</v>
      </c>
    </row>
    <row r="49" spans="2:14" ht="17.7" customHeight="1" outlineLevel="1" x14ac:dyDescent="0.3">
      <c r="B49" s="174">
        <v>1.1000000000000001</v>
      </c>
      <c r="C49" s="223" t="s">
        <v>220</v>
      </c>
      <c r="D49" s="128" t="s">
        <v>221</v>
      </c>
      <c r="E49" s="129"/>
      <c r="F49" s="130">
        <v>1</v>
      </c>
      <c r="G49" s="130"/>
      <c r="H49" s="131">
        <f>+SUM(E49:G49)</f>
        <v>1</v>
      </c>
      <c r="I49" s="173">
        <v>2500</v>
      </c>
      <c r="J49" s="218"/>
      <c r="K49" s="176">
        <f t="shared" ref="K49" si="27">J49+I49</f>
        <v>2500</v>
      </c>
      <c r="L49" s="135">
        <f t="shared" ref="L49" si="28">H49*K49</f>
        <v>2500</v>
      </c>
    </row>
    <row r="50" spans="2:14" ht="17.7" customHeight="1" outlineLevel="1" x14ac:dyDescent="0.3">
      <c r="B50" s="126">
        <v>2</v>
      </c>
      <c r="C50" s="172" t="s">
        <v>222</v>
      </c>
      <c r="D50" s="128"/>
      <c r="E50" s="129"/>
      <c r="F50" s="130"/>
      <c r="G50" s="130"/>
      <c r="H50" s="131"/>
      <c r="I50" s="173"/>
      <c r="J50" s="218"/>
      <c r="K50" s="176"/>
      <c r="L50" s="170">
        <f>SUM(L51)</f>
        <v>5250</v>
      </c>
    </row>
    <row r="51" spans="2:14" ht="17.7" customHeight="1" outlineLevel="1" x14ac:dyDescent="0.3">
      <c r="B51" s="171">
        <v>2.1</v>
      </c>
      <c r="C51" s="127" t="s">
        <v>31</v>
      </c>
      <c r="D51" s="128" t="s">
        <v>221</v>
      </c>
      <c r="E51" s="129">
        <v>0.5</v>
      </c>
      <c r="F51" s="130">
        <v>1</v>
      </c>
      <c r="G51" s="130"/>
      <c r="H51" s="131">
        <f>+SUM(E51:G51)</f>
        <v>1.5</v>
      </c>
      <c r="I51" s="173">
        <v>3500</v>
      </c>
      <c r="J51" s="218"/>
      <c r="K51" s="176">
        <f t="shared" ref="K51" si="29">J51+I51</f>
        <v>3500</v>
      </c>
      <c r="L51" s="135">
        <f t="shared" ref="L51" si="30">H51*K51</f>
        <v>5250</v>
      </c>
    </row>
    <row r="52" spans="2:14" ht="17.7" customHeight="1" outlineLevel="1" x14ac:dyDescent="0.3">
      <c r="B52" s="126">
        <v>3</v>
      </c>
      <c r="C52" s="172" t="s">
        <v>223</v>
      </c>
      <c r="D52" s="128"/>
      <c r="E52" s="129"/>
      <c r="F52" s="130"/>
      <c r="G52" s="130"/>
      <c r="H52" s="131"/>
      <c r="I52" s="173"/>
      <c r="J52" s="218"/>
      <c r="K52" s="176"/>
      <c r="L52" s="170">
        <f>SUM(L53:L55)</f>
        <v>11859.2</v>
      </c>
    </row>
    <row r="53" spans="2:14" ht="17.7" customHeight="1" outlineLevel="1" x14ac:dyDescent="0.3">
      <c r="B53" s="171">
        <v>3.1</v>
      </c>
      <c r="C53" s="127" t="s">
        <v>224</v>
      </c>
      <c r="D53" s="128" t="s">
        <v>221</v>
      </c>
      <c r="E53" s="129"/>
      <c r="F53" s="130">
        <v>12</v>
      </c>
      <c r="G53" s="130"/>
      <c r="H53" s="131">
        <f>+SUM(E53:G53)</f>
        <v>12</v>
      </c>
      <c r="I53" s="167">
        <f>70*3.88</f>
        <v>271.59999999999997</v>
      </c>
      <c r="J53" s="168"/>
      <c r="K53" s="176">
        <f t="shared" ref="K53:K55" si="31">J53+I53</f>
        <v>271.59999999999997</v>
      </c>
      <c r="L53" s="135">
        <f t="shared" ref="L53:L55" si="32">H53*K53</f>
        <v>3259.2</v>
      </c>
    </row>
    <row r="54" spans="2:14" ht="17.7" customHeight="1" outlineLevel="1" x14ac:dyDescent="0.3">
      <c r="B54" s="126">
        <v>3.2</v>
      </c>
      <c r="C54" s="127" t="s">
        <v>226</v>
      </c>
      <c r="D54" s="128" t="s">
        <v>221</v>
      </c>
      <c r="E54" s="129"/>
      <c r="F54" s="130">
        <v>10</v>
      </c>
      <c r="G54" s="130"/>
      <c r="H54" s="131">
        <f>+SUM(E54:G54)</f>
        <v>10</v>
      </c>
      <c r="I54" s="173">
        <v>380</v>
      </c>
      <c r="J54" s="168"/>
      <c r="K54" s="176">
        <f t="shared" si="31"/>
        <v>380</v>
      </c>
      <c r="L54" s="135">
        <f t="shared" si="32"/>
        <v>3800</v>
      </c>
    </row>
    <row r="55" spans="2:14" ht="17.7" customHeight="1" outlineLevel="1" x14ac:dyDescent="0.3">
      <c r="B55" s="126">
        <v>3.3</v>
      </c>
      <c r="C55" s="127" t="s">
        <v>227</v>
      </c>
      <c r="D55" s="174" t="s">
        <v>225</v>
      </c>
      <c r="E55" s="129"/>
      <c r="F55" s="175">
        <v>4</v>
      </c>
      <c r="G55" s="175"/>
      <c r="H55" s="131">
        <f>+SUM(E55:G55)</f>
        <v>4</v>
      </c>
      <c r="I55" s="173">
        <v>1200</v>
      </c>
      <c r="J55" s="168"/>
      <c r="K55" s="176">
        <f t="shared" si="31"/>
        <v>1200</v>
      </c>
      <c r="L55" s="135">
        <f t="shared" si="32"/>
        <v>4800</v>
      </c>
    </row>
    <row r="56" spans="2:14" ht="17.7" customHeight="1" x14ac:dyDescent="0.3">
      <c r="B56" s="157" t="s">
        <v>228</v>
      </c>
      <c r="C56" s="158" t="s">
        <v>229</v>
      </c>
      <c r="D56" s="159"/>
      <c r="E56" s="160"/>
      <c r="F56" s="161"/>
      <c r="G56" s="161"/>
      <c r="H56" s="162"/>
      <c r="I56" s="162"/>
      <c r="J56" s="162"/>
      <c r="K56" s="165"/>
      <c r="L56" s="166">
        <f>L57+L60+L63+L67+L69</f>
        <v>82670</v>
      </c>
    </row>
    <row r="57" spans="2:14" ht="17.7" customHeight="1" outlineLevel="1" x14ac:dyDescent="0.3">
      <c r="B57" s="171">
        <v>1</v>
      </c>
      <c r="C57" s="169" t="s">
        <v>230</v>
      </c>
      <c r="D57" s="128"/>
      <c r="E57" s="129"/>
      <c r="F57" s="130"/>
      <c r="G57" s="130"/>
      <c r="H57" s="131"/>
      <c r="I57" s="167"/>
      <c r="J57" s="168"/>
      <c r="K57" s="134"/>
      <c r="L57" s="170">
        <f>SUM(L58:L59)</f>
        <v>2250</v>
      </c>
    </row>
    <row r="58" spans="2:14" ht="17.7" customHeight="1" outlineLevel="1" x14ac:dyDescent="0.3">
      <c r="B58" s="174">
        <v>1.1000000000000001</v>
      </c>
      <c r="C58" s="223" t="s">
        <v>231</v>
      </c>
      <c r="D58" s="128" t="s">
        <v>221</v>
      </c>
      <c r="E58" s="129"/>
      <c r="F58" s="130">
        <v>1</v>
      </c>
      <c r="G58" s="130"/>
      <c r="H58" s="131">
        <f>+SUM(E58:G58)</f>
        <v>1</v>
      </c>
      <c r="I58" s="173">
        <v>1500</v>
      </c>
      <c r="J58" s="168"/>
      <c r="K58" s="176">
        <f t="shared" ref="K58:K59" si="33">J58+I58</f>
        <v>1500</v>
      </c>
      <c r="L58" s="135">
        <f t="shared" ref="L58:L59" si="34">H58*K58</f>
        <v>1500</v>
      </c>
    </row>
    <row r="59" spans="2:14" ht="17.7" customHeight="1" outlineLevel="1" x14ac:dyDescent="0.3">
      <c r="B59" s="126">
        <v>1.2</v>
      </c>
      <c r="C59" s="127" t="s">
        <v>232</v>
      </c>
      <c r="D59" s="128" t="s">
        <v>221</v>
      </c>
      <c r="E59" s="129">
        <v>0.5</v>
      </c>
      <c r="F59" s="130">
        <v>1</v>
      </c>
      <c r="G59" s="130"/>
      <c r="H59" s="131">
        <f>+SUM(E59:G59)</f>
        <v>1.5</v>
      </c>
      <c r="I59" s="173">
        <v>500</v>
      </c>
      <c r="J59" s="168"/>
      <c r="K59" s="176">
        <f t="shared" si="33"/>
        <v>500</v>
      </c>
      <c r="L59" s="135">
        <f t="shared" si="34"/>
        <v>750</v>
      </c>
    </row>
    <row r="60" spans="2:14" ht="17.7" customHeight="1" outlineLevel="1" x14ac:dyDescent="0.3">
      <c r="B60" s="126">
        <v>2</v>
      </c>
      <c r="C60" s="172" t="s">
        <v>233</v>
      </c>
      <c r="D60" s="128"/>
      <c r="E60" s="129"/>
      <c r="F60" s="130"/>
      <c r="G60" s="130"/>
      <c r="H60" s="131"/>
      <c r="I60" s="167"/>
      <c r="J60" s="168"/>
      <c r="K60" s="134"/>
      <c r="L60" s="170">
        <f>SUM(L61:L62)</f>
        <v>16320</v>
      </c>
    </row>
    <row r="61" spans="2:14" ht="17.7" customHeight="1" outlineLevel="1" x14ac:dyDescent="0.3">
      <c r="B61" s="171">
        <v>2.1</v>
      </c>
      <c r="C61" s="127" t="s">
        <v>234</v>
      </c>
      <c r="D61" s="128" t="s">
        <v>225</v>
      </c>
      <c r="E61" s="129">
        <v>1</v>
      </c>
      <c r="F61" s="130"/>
      <c r="G61" s="130"/>
      <c r="H61" s="131">
        <f>+SUM(E61:G61)</f>
        <v>1</v>
      </c>
      <c r="I61" s="216">
        <f>160*('[4]Dimensionamiento de MO'!$L$11+'[4]Dimensionamiento equipos'!$M$19+N61)</f>
        <v>8160</v>
      </c>
      <c r="J61" s="168"/>
      <c r="K61" s="176">
        <f t="shared" ref="K61:K62" si="35">J61+I61</f>
        <v>8160</v>
      </c>
      <c r="L61" s="135">
        <f t="shared" ref="L61:L62" si="36">H61*K61</f>
        <v>8160</v>
      </c>
      <c r="N61" s="83">
        <f>SUM(N14:N60)</f>
        <v>29</v>
      </c>
    </row>
    <row r="62" spans="2:14" ht="17.7" customHeight="1" outlineLevel="1" x14ac:dyDescent="0.3">
      <c r="B62" s="126">
        <v>2.2000000000000002</v>
      </c>
      <c r="C62" s="127" t="s">
        <v>235</v>
      </c>
      <c r="D62" s="128" t="s">
        <v>225</v>
      </c>
      <c r="E62" s="129"/>
      <c r="F62" s="130">
        <v>1</v>
      </c>
      <c r="G62" s="130"/>
      <c r="H62" s="131">
        <f>+SUM(E62:G62)</f>
        <v>1</v>
      </c>
      <c r="I62" s="216">
        <f>160*('[4]Dimensionamiento de MO'!$L$11+'[4]Dimensionamiento equipos'!$M$19+N61)</f>
        <v>8160</v>
      </c>
      <c r="J62" s="168"/>
      <c r="K62" s="176">
        <f t="shared" si="35"/>
        <v>8160</v>
      </c>
      <c r="L62" s="135">
        <f t="shared" si="36"/>
        <v>8160</v>
      </c>
    </row>
    <row r="63" spans="2:14" ht="17.7" customHeight="1" outlineLevel="1" x14ac:dyDescent="0.3">
      <c r="B63" s="126">
        <v>3</v>
      </c>
      <c r="C63" s="172" t="s">
        <v>236</v>
      </c>
      <c r="D63" s="128"/>
      <c r="E63" s="129"/>
      <c r="F63" s="130"/>
      <c r="G63" s="130"/>
      <c r="H63" s="131"/>
      <c r="I63" s="167"/>
      <c r="J63" s="168"/>
      <c r="K63" s="134"/>
      <c r="L63" s="170">
        <f>SUM(L64:L66)</f>
        <v>31680</v>
      </c>
    </row>
    <row r="64" spans="2:14" ht="17.7" customHeight="1" outlineLevel="1" x14ac:dyDescent="0.3">
      <c r="B64" s="171">
        <v>3.1</v>
      </c>
      <c r="C64" s="127" t="s">
        <v>237</v>
      </c>
      <c r="D64" s="128" t="s">
        <v>221</v>
      </c>
      <c r="E64" s="129"/>
      <c r="F64" s="130">
        <v>1</v>
      </c>
      <c r="G64" s="130"/>
      <c r="H64" s="131">
        <f>+SUM(E64:G64)</f>
        <v>1</v>
      </c>
      <c r="I64" s="216">
        <f>36*O37*30</f>
        <v>16200</v>
      </c>
      <c r="J64" s="168"/>
      <c r="K64" s="176">
        <f t="shared" ref="K64:K66" si="37">J64+I64</f>
        <v>16200</v>
      </c>
      <c r="L64" s="135">
        <f t="shared" ref="L64:L66" si="38">H64*K64</f>
        <v>16200</v>
      </c>
    </row>
    <row r="65" spans="2:12" ht="17.7" customHeight="1" outlineLevel="1" x14ac:dyDescent="0.3">
      <c r="B65" s="126">
        <v>3.2</v>
      </c>
      <c r="C65" s="127" t="s">
        <v>238</v>
      </c>
      <c r="D65" s="128" t="s">
        <v>221</v>
      </c>
      <c r="E65" s="129"/>
      <c r="F65" s="130">
        <v>1</v>
      </c>
      <c r="G65" s="130"/>
      <c r="H65" s="131">
        <f>+SUM(E65:G65)</f>
        <v>1</v>
      </c>
      <c r="I65" s="216">
        <f>36*O43*30</f>
        <v>15120</v>
      </c>
      <c r="J65" s="168"/>
      <c r="K65" s="176">
        <f t="shared" si="37"/>
        <v>15120</v>
      </c>
      <c r="L65" s="135">
        <f t="shared" si="38"/>
        <v>15120</v>
      </c>
    </row>
    <row r="66" spans="2:12" ht="17.7" customHeight="1" outlineLevel="1" x14ac:dyDescent="0.3">
      <c r="B66" s="126">
        <v>3.3</v>
      </c>
      <c r="C66" s="127" t="s">
        <v>239</v>
      </c>
      <c r="D66" s="128" t="s">
        <v>225</v>
      </c>
      <c r="E66" s="129"/>
      <c r="F66" s="130">
        <v>1</v>
      </c>
      <c r="G66" s="130"/>
      <c r="H66" s="131">
        <f>+SUM(E66:G66)</f>
        <v>1</v>
      </c>
      <c r="I66" s="216">
        <f>30*12</f>
        <v>360</v>
      </c>
      <c r="J66" s="168"/>
      <c r="K66" s="176">
        <f t="shared" si="37"/>
        <v>360</v>
      </c>
      <c r="L66" s="135">
        <f t="shared" si="38"/>
        <v>360</v>
      </c>
    </row>
    <row r="67" spans="2:12" ht="17.7" customHeight="1" outlineLevel="1" x14ac:dyDescent="0.3">
      <c r="B67" s="126">
        <v>4</v>
      </c>
      <c r="C67" s="172" t="s">
        <v>240</v>
      </c>
      <c r="D67" s="128"/>
      <c r="E67" s="129"/>
      <c r="F67" s="130"/>
      <c r="G67" s="130"/>
      <c r="H67" s="131"/>
      <c r="I67" s="167"/>
      <c r="J67" s="168"/>
      <c r="K67" s="176"/>
      <c r="L67" s="170">
        <f>SUM(L68:L68)</f>
        <v>3000</v>
      </c>
    </row>
    <row r="68" spans="2:12" ht="17.7" customHeight="1" outlineLevel="1" x14ac:dyDescent="0.3">
      <c r="B68" s="126">
        <v>4.0999999999999996</v>
      </c>
      <c r="C68" s="127" t="s">
        <v>241</v>
      </c>
      <c r="D68" s="128" t="s">
        <v>221</v>
      </c>
      <c r="E68" s="129"/>
      <c r="F68" s="130">
        <v>2</v>
      </c>
      <c r="G68" s="130"/>
      <c r="H68" s="131">
        <f>+SUM(E68:G68)</f>
        <v>2</v>
      </c>
      <c r="I68" s="173">
        <f>150*10</f>
        <v>1500</v>
      </c>
      <c r="J68" s="168"/>
      <c r="K68" s="176">
        <f t="shared" ref="K68" si="39">J68+I68</f>
        <v>1500</v>
      </c>
      <c r="L68" s="135">
        <f t="shared" ref="L68" si="40">H68*K68</f>
        <v>3000</v>
      </c>
    </row>
    <row r="69" spans="2:12" ht="17.7" customHeight="1" outlineLevel="1" x14ac:dyDescent="0.3">
      <c r="B69" s="126">
        <v>5</v>
      </c>
      <c r="C69" s="172" t="s">
        <v>242</v>
      </c>
      <c r="D69" s="128"/>
      <c r="E69" s="129"/>
      <c r="F69" s="130"/>
      <c r="G69" s="130"/>
      <c r="H69" s="131"/>
      <c r="I69" s="167"/>
      <c r="J69" s="168"/>
      <c r="K69" s="176"/>
      <c r="L69" s="170">
        <f>SUM(L70:L73)</f>
        <v>29420</v>
      </c>
    </row>
    <row r="70" spans="2:12" ht="17.7" customHeight="1" outlineLevel="1" x14ac:dyDescent="0.3">
      <c r="B70" s="126">
        <v>5.0999999999999996</v>
      </c>
      <c r="C70" s="127" t="s">
        <v>244</v>
      </c>
      <c r="D70" s="128" t="s">
        <v>243</v>
      </c>
      <c r="E70" s="129"/>
      <c r="F70" s="130">
        <v>1</v>
      </c>
      <c r="G70" s="130"/>
      <c r="H70" s="131">
        <f>+SUM(E70:G70)</f>
        <v>1</v>
      </c>
      <c r="I70" s="173">
        <v>15000</v>
      </c>
      <c r="J70" s="168"/>
      <c r="K70" s="176">
        <f t="shared" ref="K70:K73" si="41">J70+I70</f>
        <v>15000</v>
      </c>
      <c r="L70" s="135">
        <f t="shared" ref="L70:L73" si="42">H70*K70</f>
        <v>15000</v>
      </c>
    </row>
    <row r="71" spans="2:12" ht="17.7" customHeight="1" outlineLevel="1" x14ac:dyDescent="0.3">
      <c r="B71" s="126">
        <v>5.2</v>
      </c>
      <c r="C71" s="127" t="s">
        <v>245</v>
      </c>
      <c r="D71" s="128" t="s">
        <v>243</v>
      </c>
      <c r="E71" s="129"/>
      <c r="F71" s="130">
        <v>1</v>
      </c>
      <c r="G71" s="130"/>
      <c r="H71" s="131">
        <f>+SUM(E71:G71)</f>
        <v>1</v>
      </c>
      <c r="I71" s="173">
        <v>3500</v>
      </c>
      <c r="J71" s="168"/>
      <c r="K71" s="176">
        <f t="shared" si="41"/>
        <v>3500</v>
      </c>
      <c r="L71" s="135">
        <f t="shared" si="42"/>
        <v>3500</v>
      </c>
    </row>
    <row r="72" spans="2:12" ht="17.7" customHeight="1" outlineLevel="1" x14ac:dyDescent="0.3">
      <c r="B72" s="126">
        <v>5.3</v>
      </c>
      <c r="C72" s="127" t="s">
        <v>292</v>
      </c>
      <c r="D72" s="128" t="s">
        <v>243</v>
      </c>
      <c r="E72" s="129"/>
      <c r="F72" s="130">
        <v>1</v>
      </c>
      <c r="G72" s="130"/>
      <c r="H72" s="131">
        <f>+SUM(E72:G72)</f>
        <v>1</v>
      </c>
      <c r="I72" s="173">
        <f>12*22*30</f>
        <v>7920</v>
      </c>
      <c r="J72" s="168"/>
      <c r="K72" s="176">
        <f t="shared" si="41"/>
        <v>7920</v>
      </c>
      <c r="L72" s="135">
        <f t="shared" si="42"/>
        <v>7920</v>
      </c>
    </row>
    <row r="73" spans="2:12" ht="17.7" customHeight="1" outlineLevel="1" x14ac:dyDescent="0.3">
      <c r="B73" s="126">
        <v>5.4</v>
      </c>
      <c r="C73" s="127" t="s">
        <v>246</v>
      </c>
      <c r="D73" s="128" t="s">
        <v>243</v>
      </c>
      <c r="E73" s="129"/>
      <c r="F73" s="130">
        <v>1</v>
      </c>
      <c r="G73" s="130"/>
      <c r="H73" s="131">
        <f>+SUM(E73:G73)</f>
        <v>1</v>
      </c>
      <c r="I73" s="173">
        <v>3000</v>
      </c>
      <c r="J73" s="168"/>
      <c r="K73" s="176">
        <f t="shared" si="41"/>
        <v>3000</v>
      </c>
      <c r="L73" s="135">
        <f t="shared" si="42"/>
        <v>3000</v>
      </c>
    </row>
    <row r="74" spans="2:12" ht="17.7" customHeight="1" x14ac:dyDescent="0.3">
      <c r="B74" s="178" t="s">
        <v>247</v>
      </c>
      <c r="C74" s="158" t="s">
        <v>22</v>
      </c>
      <c r="D74" s="159"/>
      <c r="E74" s="160"/>
      <c r="F74" s="161"/>
      <c r="G74" s="161"/>
      <c r="H74" s="162"/>
      <c r="I74" s="163"/>
      <c r="J74" s="164"/>
      <c r="K74" s="165"/>
      <c r="L74" s="166">
        <f>SUM(L75:L83)</f>
        <v>55201.062466666663</v>
      </c>
    </row>
    <row r="75" spans="2:12" ht="17.7" customHeight="1" outlineLevel="1" x14ac:dyDescent="0.3">
      <c r="B75" s="179">
        <v>1</v>
      </c>
      <c r="C75" s="143" t="s">
        <v>269</v>
      </c>
      <c r="D75" s="144" t="s">
        <v>243</v>
      </c>
      <c r="E75" s="145"/>
      <c r="F75" s="146">
        <v>1</v>
      </c>
      <c r="G75" s="146"/>
      <c r="H75" s="131">
        <f>+SUM(E75:G75)</f>
        <v>1</v>
      </c>
      <c r="I75" s="180">
        <f>(((185000*0.09/12))*13)</f>
        <v>18037.5</v>
      </c>
      <c r="J75" s="181"/>
      <c r="K75" s="182">
        <f t="shared" ref="K75:K82" si="43">J75+I75</f>
        <v>18037.5</v>
      </c>
      <c r="L75" s="183">
        <f>K75*H75</f>
        <v>18037.5</v>
      </c>
    </row>
    <row r="76" spans="2:12" ht="17.7" customHeight="1" outlineLevel="1" x14ac:dyDescent="0.3">
      <c r="B76" s="184">
        <v>2</v>
      </c>
      <c r="C76" s="127" t="s">
        <v>248</v>
      </c>
      <c r="D76" s="128" t="s">
        <v>243</v>
      </c>
      <c r="E76" s="129">
        <v>0.5</v>
      </c>
      <c r="F76" s="130">
        <v>1</v>
      </c>
      <c r="G76" s="130"/>
      <c r="H76" s="185">
        <f>+SUM(E76:G76)</f>
        <v>1.5</v>
      </c>
      <c r="I76" s="186">
        <f>((277500)*0.09)/12</f>
        <v>2081.25</v>
      </c>
      <c r="J76" s="187"/>
      <c r="K76" s="177">
        <f t="shared" si="43"/>
        <v>2081.25</v>
      </c>
      <c r="L76" s="188">
        <f>K76*H76</f>
        <v>3121.875</v>
      </c>
    </row>
    <row r="77" spans="2:12" ht="17.7" customHeight="1" outlineLevel="1" x14ac:dyDescent="0.3">
      <c r="B77" s="189">
        <v>3</v>
      </c>
      <c r="C77" s="127" t="s">
        <v>249</v>
      </c>
      <c r="D77" s="128" t="s">
        <v>243</v>
      </c>
      <c r="E77" s="129"/>
      <c r="F77" s="130">
        <v>1</v>
      </c>
      <c r="G77" s="130"/>
      <c r="H77" s="185">
        <f>+SUM(E77:G77)</f>
        <v>1</v>
      </c>
      <c r="I77" s="186">
        <f>((1850000*0.05)*0.3*0.09)/12*13</f>
        <v>2705.625</v>
      </c>
      <c r="J77" s="187"/>
      <c r="K77" s="177">
        <f t="shared" si="43"/>
        <v>2705.625</v>
      </c>
      <c r="L77" s="188">
        <f>K77*H77</f>
        <v>2705.625</v>
      </c>
    </row>
    <row r="78" spans="2:12" ht="17.7" customHeight="1" outlineLevel="1" x14ac:dyDescent="0.3">
      <c r="B78" s="190">
        <v>4</v>
      </c>
      <c r="C78" s="127" t="s">
        <v>250</v>
      </c>
      <c r="D78" s="128" t="s">
        <v>243</v>
      </c>
      <c r="E78" s="129"/>
      <c r="F78" s="130">
        <v>1</v>
      </c>
      <c r="G78" s="130"/>
      <c r="H78" s="191">
        <f>+SUM(E78:G78)</f>
        <v>1</v>
      </c>
      <c r="I78" s="192">
        <f>(1850000*0.0005)/6</f>
        <v>154.16666666666666</v>
      </c>
      <c r="J78" s="193"/>
      <c r="K78" s="177">
        <f t="shared" si="43"/>
        <v>154.16666666666666</v>
      </c>
      <c r="L78" s="177">
        <f>K78*H78</f>
        <v>154.16666666666666</v>
      </c>
    </row>
    <row r="79" spans="2:12" ht="17.7" customHeight="1" outlineLevel="1" x14ac:dyDescent="0.3">
      <c r="B79" s="190">
        <v>6</v>
      </c>
      <c r="C79" s="210" t="s">
        <v>251</v>
      </c>
      <c r="D79" s="194" t="s">
        <v>243</v>
      </c>
      <c r="E79" s="195"/>
      <c r="F79" s="196">
        <v>1</v>
      </c>
      <c r="G79" s="196"/>
      <c r="H79" s="197">
        <v>1</v>
      </c>
      <c r="I79" s="198">
        <v>8507.7999999999993</v>
      </c>
      <c r="J79" s="199"/>
      <c r="K79" s="185">
        <f t="shared" si="43"/>
        <v>8507.7999999999993</v>
      </c>
      <c r="L79" s="135">
        <f t="shared" ref="L79:L82" si="44">H79*K79</f>
        <v>8507.7999999999993</v>
      </c>
    </row>
    <row r="80" spans="2:12" ht="24.75" customHeight="1" outlineLevel="1" x14ac:dyDescent="0.3">
      <c r="B80" s="190">
        <v>7</v>
      </c>
      <c r="C80" s="211" t="s">
        <v>252</v>
      </c>
      <c r="D80" s="194" t="s">
        <v>243</v>
      </c>
      <c r="E80" s="195"/>
      <c r="F80" s="196">
        <v>1</v>
      </c>
      <c r="G80" s="196"/>
      <c r="H80" s="197">
        <v>1</v>
      </c>
      <c r="I80" s="198">
        <v>3070.6057999999998</v>
      </c>
      <c r="J80" s="199"/>
      <c r="K80" s="185">
        <f t="shared" si="43"/>
        <v>3070.6057999999998</v>
      </c>
      <c r="L80" s="135">
        <f t="shared" si="44"/>
        <v>3070.6057999999998</v>
      </c>
    </row>
    <row r="81" spans="2:12" ht="27" customHeight="1" outlineLevel="1" x14ac:dyDescent="0.3">
      <c r="B81" s="190">
        <v>8</v>
      </c>
      <c r="C81" s="211" t="s">
        <v>253</v>
      </c>
      <c r="D81" s="194" t="s">
        <v>243</v>
      </c>
      <c r="E81" s="195"/>
      <c r="F81" s="196">
        <v>1</v>
      </c>
      <c r="G81" s="196"/>
      <c r="H81" s="197">
        <v>1</v>
      </c>
      <c r="I81" s="198">
        <v>3255.17</v>
      </c>
      <c r="J81" s="199"/>
      <c r="K81" s="185">
        <f t="shared" si="43"/>
        <v>3255.17</v>
      </c>
      <c r="L81" s="135">
        <f t="shared" si="44"/>
        <v>3255.17</v>
      </c>
    </row>
    <row r="82" spans="2:12" ht="27" customHeight="1" outlineLevel="1" x14ac:dyDescent="0.3">
      <c r="B82" s="189">
        <v>9</v>
      </c>
      <c r="C82" s="211" t="s">
        <v>254</v>
      </c>
      <c r="D82" s="194" t="s">
        <v>243</v>
      </c>
      <c r="E82" s="195"/>
      <c r="F82" s="196">
        <v>1</v>
      </c>
      <c r="G82" s="196"/>
      <c r="H82" s="197">
        <v>1</v>
      </c>
      <c r="I82" s="198">
        <v>12648.32</v>
      </c>
      <c r="J82" s="199"/>
      <c r="K82" s="185">
        <f t="shared" si="43"/>
        <v>12648.32</v>
      </c>
      <c r="L82" s="135">
        <f t="shared" si="44"/>
        <v>12648.32</v>
      </c>
    </row>
    <row r="83" spans="2:12" ht="17.7" customHeight="1" outlineLevel="1" x14ac:dyDescent="0.3">
      <c r="B83" s="212">
        <v>10</v>
      </c>
      <c r="C83" s="136" t="s">
        <v>255</v>
      </c>
      <c r="D83" s="137" t="s">
        <v>243</v>
      </c>
      <c r="E83" s="138"/>
      <c r="F83" s="139">
        <v>1</v>
      </c>
      <c r="G83" s="139"/>
      <c r="H83" s="213">
        <f>+SUM(E83:G83)</f>
        <v>1</v>
      </c>
      <c r="I83" s="214">
        <f>(1850000*0.002)</f>
        <v>3700</v>
      </c>
      <c r="J83" s="200"/>
      <c r="K83" s="215">
        <f>I83*H83</f>
        <v>3700</v>
      </c>
      <c r="L83" s="140">
        <f>K83</f>
        <v>3700</v>
      </c>
    </row>
    <row r="84" spans="2:12" ht="17.7" customHeight="1" thickBot="1" x14ac:dyDescent="0.35">
      <c r="B84" s="201"/>
      <c r="L84" s="202"/>
    </row>
    <row r="85" spans="2:12" ht="34.200000000000003" customHeight="1" thickBot="1" x14ac:dyDescent="0.35">
      <c r="C85" s="203" t="s">
        <v>256</v>
      </c>
      <c r="D85" s="204"/>
      <c r="E85" s="204"/>
      <c r="F85" s="204"/>
      <c r="G85" s="204"/>
      <c r="H85" s="204"/>
      <c r="I85" s="204"/>
      <c r="J85" s="205" t="s">
        <v>243</v>
      </c>
      <c r="K85" s="243">
        <f>+SUM(L13,L44,L47,L56,L74)</f>
        <v>425045.7624666667</v>
      </c>
      <c r="L85" s="244"/>
    </row>
    <row r="86" spans="2:12" ht="17.7" customHeight="1" thickBot="1" x14ac:dyDescent="0.35">
      <c r="B86" s="206" t="s">
        <v>257</v>
      </c>
      <c r="K86" s="202"/>
      <c r="L86" s="202"/>
    </row>
    <row r="87" spans="2:12" ht="15" customHeight="1" x14ac:dyDescent="0.3">
      <c r="B87" s="207"/>
    </row>
  </sheetData>
  <mergeCells count="3">
    <mergeCell ref="K85:L85"/>
    <mergeCell ref="B7:L7"/>
    <mergeCell ref="L11:L1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C28C-A672-4808-B95D-25B975A0A802}">
  <sheetPr>
    <pageSetUpPr fitToPage="1"/>
  </sheetPr>
  <dimension ref="A4:K24"/>
  <sheetViews>
    <sheetView showGridLines="0" view="pageBreakPreview" zoomScale="90" zoomScaleNormal="100" zoomScaleSheetLayoutView="90" workbookViewId="0">
      <selection activeCell="I24" sqref="I24"/>
    </sheetView>
  </sheetViews>
  <sheetFormatPr baseColWidth="10" defaultRowHeight="14.4" x14ac:dyDescent="0.3"/>
  <cols>
    <col min="1" max="1" width="26.109375" bestFit="1" customWidth="1"/>
    <col min="3" max="3" width="3" customWidth="1"/>
    <col min="4" max="4" width="29.33203125" customWidth="1"/>
    <col min="6" max="6" width="2.88671875" customWidth="1"/>
    <col min="7" max="7" width="23" bestFit="1" customWidth="1"/>
    <col min="9" max="9" width="3.44140625" customWidth="1"/>
    <col min="10" max="10" width="23" bestFit="1" customWidth="1"/>
  </cols>
  <sheetData>
    <row r="4" spans="1:11" s="342" customFormat="1" ht="13.8" x14ac:dyDescent="0.3">
      <c r="A4" s="367" t="s">
        <v>32</v>
      </c>
      <c r="B4" s="368"/>
      <c r="C4" s="368"/>
      <c r="D4" s="367" t="s">
        <v>48</v>
      </c>
      <c r="G4" s="367" t="s">
        <v>49</v>
      </c>
      <c r="H4" s="368"/>
      <c r="I4" s="368"/>
      <c r="J4" s="367" t="s">
        <v>50</v>
      </c>
      <c r="K4" s="368"/>
    </row>
    <row r="5" spans="1:11" s="342" customFormat="1" ht="13.8" x14ac:dyDescent="0.3">
      <c r="A5" s="368"/>
      <c r="B5" s="368"/>
      <c r="C5" s="368"/>
      <c r="G5" s="368"/>
      <c r="H5" s="368"/>
      <c r="I5" s="368"/>
      <c r="J5" s="368"/>
      <c r="K5" s="368"/>
    </row>
    <row r="6" spans="1:11" s="342" customFormat="1" ht="14.25" customHeight="1" x14ac:dyDescent="0.3">
      <c r="A6" s="369" t="s">
        <v>34</v>
      </c>
      <c r="B6" s="369" t="s">
        <v>35</v>
      </c>
      <c r="C6" s="368"/>
      <c r="D6" s="369" t="s">
        <v>34</v>
      </c>
      <c r="E6" s="369" t="s">
        <v>35</v>
      </c>
      <c r="G6" s="369" t="s">
        <v>34</v>
      </c>
      <c r="H6" s="369" t="s">
        <v>35</v>
      </c>
      <c r="I6" s="368"/>
      <c r="J6" s="369" t="s">
        <v>34</v>
      </c>
      <c r="K6" s="369" t="s">
        <v>35</v>
      </c>
    </row>
    <row r="7" spans="1:11" s="342" customFormat="1" ht="13.8" x14ac:dyDescent="0.3">
      <c r="A7" s="370" t="s">
        <v>36</v>
      </c>
      <c r="B7" s="371">
        <v>47</v>
      </c>
      <c r="C7" s="368"/>
      <c r="D7" s="370" t="s">
        <v>36</v>
      </c>
      <c r="E7" s="371">
        <v>47</v>
      </c>
      <c r="G7" s="370" t="s">
        <v>36</v>
      </c>
      <c r="H7" s="371">
        <v>47</v>
      </c>
      <c r="I7" s="368"/>
      <c r="J7" s="370" t="s">
        <v>36</v>
      </c>
      <c r="K7" s="371">
        <v>47</v>
      </c>
    </row>
    <row r="8" spans="1:11" s="342" customFormat="1" ht="13.8" x14ac:dyDescent="0.3">
      <c r="A8" s="370" t="s">
        <v>37</v>
      </c>
      <c r="B8" s="371">
        <v>2</v>
      </c>
      <c r="C8" s="368"/>
      <c r="D8" s="370" t="s">
        <v>37</v>
      </c>
      <c r="E8" s="371">
        <v>2</v>
      </c>
      <c r="G8" s="370" t="s">
        <v>37</v>
      </c>
      <c r="H8" s="371">
        <v>2</v>
      </c>
      <c r="I8" s="368"/>
      <c r="J8" s="370" t="s">
        <v>37</v>
      </c>
      <c r="K8" s="371">
        <v>2</v>
      </c>
    </row>
    <row r="9" spans="1:11" s="342" customFormat="1" ht="13.8" x14ac:dyDescent="0.3">
      <c r="A9" s="370" t="s">
        <v>38</v>
      </c>
      <c r="B9" s="371">
        <v>1.5</v>
      </c>
      <c r="C9" s="368"/>
      <c r="D9" s="370" t="s">
        <v>38</v>
      </c>
      <c r="E9" s="371">
        <v>1.5</v>
      </c>
      <c r="G9" s="370" t="s">
        <v>38</v>
      </c>
      <c r="H9" s="371">
        <v>1.5</v>
      </c>
      <c r="I9" s="368"/>
      <c r="J9" s="370" t="s">
        <v>38</v>
      </c>
      <c r="K9" s="371">
        <v>1.5</v>
      </c>
    </row>
    <row r="10" spans="1:11" s="342" customFormat="1" ht="13.8" x14ac:dyDescent="0.3">
      <c r="A10" s="370" t="s">
        <v>39</v>
      </c>
      <c r="B10" s="371">
        <v>40</v>
      </c>
      <c r="C10" s="368"/>
      <c r="D10" s="370" t="s">
        <v>39</v>
      </c>
      <c r="E10" s="371">
        <v>40</v>
      </c>
      <c r="G10" s="370" t="s">
        <v>39</v>
      </c>
      <c r="H10" s="371">
        <v>40</v>
      </c>
      <c r="I10" s="368"/>
      <c r="J10" s="370" t="s">
        <v>39</v>
      </c>
      <c r="K10" s="371">
        <v>40</v>
      </c>
    </row>
    <row r="11" spans="1:11" s="342" customFormat="1" ht="13.8" x14ac:dyDescent="0.3">
      <c r="A11" s="370" t="s">
        <v>40</v>
      </c>
      <c r="B11" s="371">
        <v>60</v>
      </c>
      <c r="C11" s="368"/>
      <c r="D11" s="370" t="s">
        <v>40</v>
      </c>
      <c r="E11" s="371">
        <v>60</v>
      </c>
      <c r="G11" s="370" t="s">
        <v>40</v>
      </c>
      <c r="H11" s="371">
        <v>0</v>
      </c>
      <c r="I11" s="368"/>
      <c r="J11" s="370" t="s">
        <v>40</v>
      </c>
      <c r="K11" s="371">
        <v>0</v>
      </c>
    </row>
    <row r="12" spans="1:11" s="342" customFormat="1" ht="13.8" x14ac:dyDescent="0.3">
      <c r="A12" s="370" t="s">
        <v>41</v>
      </c>
      <c r="B12" s="371">
        <v>0</v>
      </c>
      <c r="C12" s="368"/>
      <c r="D12" s="370" t="s">
        <v>41</v>
      </c>
      <c r="E12" s="371">
        <v>0</v>
      </c>
      <c r="G12" s="370" t="s">
        <v>41</v>
      </c>
      <c r="H12" s="371">
        <v>21</v>
      </c>
      <c r="I12" s="368"/>
      <c r="J12" s="370" t="s">
        <v>41</v>
      </c>
      <c r="K12" s="371">
        <v>21</v>
      </c>
    </row>
    <row r="13" spans="1:11" s="342" customFormat="1" ht="13.8" x14ac:dyDescent="0.3">
      <c r="A13" s="370" t="s">
        <v>42</v>
      </c>
      <c r="B13" s="371">
        <v>99.9</v>
      </c>
      <c r="C13" s="368"/>
      <c r="D13" s="370" t="s">
        <v>42</v>
      </c>
      <c r="E13" s="371">
        <v>99.9</v>
      </c>
      <c r="G13" s="370" t="s">
        <v>42</v>
      </c>
      <c r="H13" s="371">
        <v>99.9</v>
      </c>
      <c r="I13" s="368"/>
      <c r="J13" s="370" t="s">
        <v>42</v>
      </c>
      <c r="K13" s="371">
        <v>99.9</v>
      </c>
    </row>
    <row r="14" spans="1:11" s="342" customFormat="1" ht="13.8" x14ac:dyDescent="0.3">
      <c r="A14" s="370" t="s">
        <v>43</v>
      </c>
      <c r="B14" s="371">
        <v>12.2</v>
      </c>
      <c r="C14" s="368"/>
      <c r="D14" s="370" t="s">
        <v>43</v>
      </c>
      <c r="E14" s="371">
        <v>12.2</v>
      </c>
      <c r="G14" s="370" t="s">
        <v>43</v>
      </c>
      <c r="H14" s="371">
        <v>12.2</v>
      </c>
      <c r="I14" s="368"/>
      <c r="J14" s="370" t="s">
        <v>43</v>
      </c>
      <c r="K14" s="371">
        <v>12.2</v>
      </c>
    </row>
    <row r="15" spans="1:11" s="342" customFormat="1" ht="13.8" x14ac:dyDescent="0.3">
      <c r="A15" s="370" t="s">
        <v>44</v>
      </c>
      <c r="B15" s="371">
        <v>5.5</v>
      </c>
      <c r="C15" s="368"/>
      <c r="D15" s="370" t="s">
        <v>44</v>
      </c>
      <c r="E15" s="371">
        <v>5.5</v>
      </c>
      <c r="G15" s="370" t="s">
        <v>44</v>
      </c>
      <c r="H15" s="371">
        <v>5.5</v>
      </c>
      <c r="I15" s="368"/>
      <c r="J15" s="370" t="s">
        <v>44</v>
      </c>
      <c r="K15" s="371">
        <v>5.5</v>
      </c>
    </row>
    <row r="16" spans="1:11" s="342" customFormat="1" ht="13.8" x14ac:dyDescent="0.3">
      <c r="A16" s="370" t="s">
        <v>45</v>
      </c>
      <c r="B16" s="371">
        <v>5.5</v>
      </c>
      <c r="C16" s="368"/>
      <c r="D16" s="370" t="s">
        <v>45</v>
      </c>
      <c r="E16" s="371">
        <v>5.5</v>
      </c>
      <c r="G16" s="370" t="s">
        <v>45</v>
      </c>
      <c r="H16" s="371">
        <v>5.5</v>
      </c>
      <c r="I16" s="368"/>
      <c r="J16" s="370" t="s">
        <v>45</v>
      </c>
      <c r="K16" s="371">
        <v>5.5</v>
      </c>
    </row>
    <row r="17" spans="1:11" s="342" customFormat="1" ht="13.8" x14ac:dyDescent="0.3">
      <c r="A17" s="370" t="s">
        <v>46</v>
      </c>
      <c r="B17" s="371">
        <v>7</v>
      </c>
      <c r="C17" s="368"/>
      <c r="D17" s="370" t="s">
        <v>46</v>
      </c>
      <c r="E17" s="371">
        <v>7</v>
      </c>
      <c r="G17" s="370" t="s">
        <v>46</v>
      </c>
      <c r="H17" s="371">
        <v>7</v>
      </c>
      <c r="I17" s="368"/>
      <c r="J17" s="370" t="s">
        <v>46</v>
      </c>
      <c r="K17" s="371">
        <v>7</v>
      </c>
    </row>
    <row r="18" spans="1:11" s="342" customFormat="1" ht="13.8" x14ac:dyDescent="0.3">
      <c r="A18" s="370" t="s">
        <v>47</v>
      </c>
      <c r="B18" s="371">
        <v>66</v>
      </c>
      <c r="C18" s="368"/>
      <c r="D18" s="370" t="s">
        <v>47</v>
      </c>
      <c r="E18" s="371">
        <v>66</v>
      </c>
      <c r="G18" s="370" t="s">
        <v>47</v>
      </c>
      <c r="H18" s="371">
        <v>66</v>
      </c>
      <c r="I18" s="368"/>
      <c r="J18" s="370" t="s">
        <v>47</v>
      </c>
      <c r="K18" s="371">
        <v>66</v>
      </c>
    </row>
    <row r="19" spans="1:11" s="342" customFormat="1" ht="13.8" x14ac:dyDescent="0.3">
      <c r="A19" s="368"/>
      <c r="B19" s="372">
        <f>SUM(B7:B18)</f>
        <v>346.6</v>
      </c>
      <c r="C19" s="368"/>
      <c r="D19" s="368"/>
      <c r="E19" s="372">
        <f>SUM(E7:E18)</f>
        <v>346.6</v>
      </c>
      <c r="G19" s="368"/>
      <c r="H19" s="372">
        <f>SUM(H7:H18)</f>
        <v>307.60000000000002</v>
      </c>
      <c r="I19" s="368"/>
      <c r="J19" s="368"/>
      <c r="K19" s="372">
        <f>SUM(K7:K18)</f>
        <v>307.60000000000002</v>
      </c>
    </row>
    <row r="20" spans="1:11" x14ac:dyDescent="0.3">
      <c r="A20" s="71" t="s">
        <v>51</v>
      </c>
      <c r="B20" s="72"/>
      <c r="C20" s="71"/>
      <c r="G20" s="73"/>
      <c r="H20" s="72"/>
      <c r="I20" s="71"/>
      <c r="J20" s="73"/>
      <c r="K20" s="72"/>
    </row>
    <row r="21" spans="1:11" x14ac:dyDescent="0.3">
      <c r="B21" s="74"/>
      <c r="C21" s="71"/>
      <c r="G21" s="73"/>
      <c r="H21" s="74"/>
      <c r="I21" s="71"/>
      <c r="J21" s="73"/>
      <c r="K21" s="74"/>
    </row>
    <row r="22" spans="1:11" x14ac:dyDescent="0.3">
      <c r="B22" s="74"/>
      <c r="C22" s="71"/>
      <c r="G22" s="73"/>
      <c r="H22" s="74"/>
      <c r="I22" s="71"/>
      <c r="J22" s="73"/>
      <c r="K22" s="74"/>
    </row>
    <row r="23" spans="1:11" x14ac:dyDescent="0.3">
      <c r="B23" s="71"/>
      <c r="C23" s="71"/>
      <c r="G23" s="71"/>
      <c r="H23" s="71"/>
      <c r="I23" s="71"/>
      <c r="J23" s="71"/>
      <c r="K23" s="71"/>
    </row>
    <row r="24" spans="1:11" x14ac:dyDescent="0.3">
      <c r="A24" s="71"/>
      <c r="B24" s="75"/>
      <c r="C24" s="75"/>
      <c r="G24" s="75"/>
      <c r="H24" s="75"/>
      <c r="I24" s="75"/>
      <c r="J24" s="75"/>
      <c r="K24" s="75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DATOS GENERALES</vt:lpstr>
      <vt:lpstr>PRESUPUESTO</vt:lpstr>
      <vt:lpstr>GG Y UTLIDAD</vt:lpstr>
      <vt:lpstr>DESAGREGADO GG</vt:lpstr>
      <vt:lpstr>DETALLE GG</vt:lpstr>
      <vt:lpstr>EPPS</vt:lpstr>
      <vt:lpstr>'DATOS GENERALES'!Área_de_impresión</vt:lpstr>
      <vt:lpstr>'DESAGREGADO GG'!Área_de_impresión</vt:lpstr>
      <vt:lpstr>EPPS!Área_de_impresión</vt:lpstr>
      <vt:lpstr>'GG Y UTLIDAD'!Área_de_impresión</vt:lpstr>
      <vt:lpstr>PRESUPUESTO!Área_de_impresión</vt:lpstr>
      <vt:lpstr>PRESUPUESTO!Títulos_a_imprimir</vt:lpstr>
    </vt:vector>
  </TitlesOfParts>
  <Company>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Silva</dc:creator>
  <cp:lastModifiedBy>DELL</cp:lastModifiedBy>
  <cp:lastPrinted>2022-06-07T14:20:17Z</cp:lastPrinted>
  <dcterms:created xsi:type="dcterms:W3CDTF">2018-02-15T23:04:46Z</dcterms:created>
  <dcterms:modified xsi:type="dcterms:W3CDTF">2022-10-09T16:22:46Z</dcterms:modified>
</cp:coreProperties>
</file>