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GRUPO L&amp;S\LICITACION OHLA\PROPUESTA TECNICA ECONOMICA LYS_ ACTUAL\PE ACTUALIZADA _ GRUPO LYS\"/>
    </mc:Choice>
  </mc:AlternateContent>
  <bookViews>
    <workbookView xWindow="0" yWindow="0" windowWidth="23040" windowHeight="8388" activeTab="1"/>
  </bookViews>
  <sheets>
    <sheet name="CONSOLIDADO" sheetId="26" r:id="rId1"/>
    <sheet name="DETALLADO" sheetId="11" r:id="rId2"/>
    <sheet name="SUPERVISOR" sheetId="13" r:id="rId3"/>
    <sheet name="AGENTE CONDUCTOR" sheetId="15" r:id="rId4"/>
    <sheet name="AGENTE CON ARMA" sheetId="14" r:id="rId5"/>
    <sheet name="AGENTE SIN ARMA" sheetId="16" r:id="rId6"/>
    <sheet name="MATERIALES " sheetId="17" r:id="rId7"/>
    <sheet name="EQUIPOS INFORMATICOS" sheetId="18" r:id="rId8"/>
    <sheet name="CAMIONETA" sheetId="19" r:id="rId9"/>
    <sheet name="EPPS " sheetId="20" r:id="rId10"/>
    <sheet name="UNIFORMES" sheetId="21" r:id="rId11"/>
    <sheet name="ALIMENTACION" sheetId="22" r:id="rId12"/>
    <sheet name="GASTOS GENERALES" sheetId="23" r:id="rId13"/>
    <sheet name="POLIZAS" sheetId="25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a" localSheetId="4">[1]Compra_54MOD!#REF!</definedName>
    <definedName name="a" localSheetId="3">[1]Compra_54MOD!#REF!</definedName>
    <definedName name="a" localSheetId="5">[1]Compra_54MOD!#REF!</definedName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CONSOLIDADO!$A$1:$N$56</definedName>
    <definedName name="_xlnm.Print_Area" localSheetId="1">DETALLADO!$A$1:$N$58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0">CONSOLIDADO!$A$1:$M$39</definedName>
    <definedName name="Print_Area" localSheetId="1">DETALLADO!$A$1:$M$41</definedName>
    <definedName name="Q" localSheetId="5">[4]OC215!#REF!</definedName>
    <definedName name="Q" localSheetId="0">[4]OC215!#REF!</definedName>
    <definedName name="Q">[4]OC215!#REF!</definedName>
    <definedName name="SP">[4]OC215!#REF!</definedName>
    <definedName name="total" localSheetId="4">[4]OC215!#REF!</definedName>
    <definedName name="total" localSheetId="3">[4]OC215!#REF!</definedName>
    <definedName name="total" localSheetId="5">[4]OC215!#REF!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4">[4]OC215!#REF!</definedName>
    <definedName name="total100" localSheetId="3">[4]OC215!#REF!</definedName>
    <definedName name="total100" localSheetId="5">[4]OC215!#REF!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4">#REF!</definedName>
    <definedName name="total52AMP" localSheetId="3">#REF!</definedName>
    <definedName name="total52AMP" localSheetId="5">#REF!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4">[1]Compra_54MOD!#REF!</definedName>
    <definedName name="total54MOD" localSheetId="3">[1]Compra_54MOD!#REF!</definedName>
    <definedName name="total54MOD" localSheetId="5">[1]Compra_54MOD!#REF!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4">[4]OC215!#REF!</definedName>
    <definedName name="total82" localSheetId="3">[4]OC215!#REF!</definedName>
    <definedName name="total82" localSheetId="5">[4]OC215!#REF!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4">[4]OC215!#REF!</definedName>
    <definedName name="total85" localSheetId="3">[4]OC215!#REF!</definedName>
    <definedName name="total85" localSheetId="5">[4]OC215!#REF!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W" localSheetId="0">[1]Compra_54MOD!#REF!</definedName>
    <definedName name="W">[1]Compra_54MOD!#REF!</definedName>
    <definedName name="Y" localSheetId="0">#REF!</definedName>
    <definedName name="Y">#REF!</definedName>
  </definedNames>
  <calcPr calcId="162913"/>
</workbook>
</file>

<file path=xl/calcChain.xml><?xml version="1.0" encoding="utf-8"?>
<calcChain xmlns="http://schemas.openxmlformats.org/spreadsheetml/2006/main">
  <c r="M25" i="26" l="1"/>
  <c r="M24" i="26"/>
  <c r="M22" i="26"/>
  <c r="M21" i="26"/>
  <c r="C4" i="21"/>
  <c r="F5" i="19"/>
  <c r="C4" i="17"/>
  <c r="B4" i="23"/>
  <c r="C5" i="21" l="1"/>
  <c r="B9" i="23"/>
  <c r="J7" i="25" l="1"/>
  <c r="J6" i="25"/>
  <c r="I7" i="25" l="1"/>
  <c r="I6" i="25"/>
  <c r="C12" i="21" l="1"/>
  <c r="C11" i="21"/>
  <c r="C10" i="21"/>
  <c r="C9" i="21"/>
  <c r="F6" i="20"/>
  <c r="F5" i="20"/>
  <c r="F4" i="20"/>
  <c r="C6" i="17"/>
  <c r="F10" i="20"/>
  <c r="F9" i="20"/>
  <c r="F8" i="20"/>
  <c r="F7" i="20"/>
  <c r="M16" i="11"/>
  <c r="L16" i="11"/>
  <c r="C37" i="14"/>
  <c r="D21" i="16"/>
  <c r="C21" i="16"/>
  <c r="D19" i="16"/>
  <c r="C19" i="16"/>
  <c r="D18" i="16"/>
  <c r="C18" i="16"/>
  <c r="D21" i="14"/>
  <c r="C21" i="14"/>
  <c r="D19" i="14"/>
  <c r="C19" i="14"/>
  <c r="D18" i="14"/>
  <c r="C18" i="14"/>
  <c r="D21" i="15"/>
  <c r="C21" i="15"/>
  <c r="D19" i="15"/>
  <c r="C19" i="15"/>
  <c r="D18" i="15"/>
  <c r="C18" i="15"/>
  <c r="D21" i="13"/>
  <c r="C21" i="13"/>
  <c r="D19" i="13"/>
  <c r="C19" i="13"/>
  <c r="D18" i="13"/>
  <c r="C18" i="13"/>
  <c r="I51" i="26" l="1"/>
  <c r="I50" i="26"/>
  <c r="I44" i="26"/>
  <c r="L33" i="26"/>
  <c r="M33" i="26" s="1"/>
  <c r="L32" i="26"/>
  <c r="M32" i="26" s="1"/>
  <c r="L31" i="26"/>
  <c r="M31" i="26" s="1"/>
  <c r="L30" i="26"/>
  <c r="M30" i="26" s="1"/>
  <c r="L29" i="26"/>
  <c r="M29" i="26" s="1"/>
  <c r="L27" i="26"/>
  <c r="M27" i="26" s="1"/>
  <c r="L33" i="11"/>
  <c r="L32" i="11"/>
  <c r="L31" i="11"/>
  <c r="L30" i="11"/>
  <c r="L29" i="11"/>
  <c r="M29" i="11"/>
  <c r="D9" i="14"/>
  <c r="L27" i="11"/>
  <c r="D8" i="22"/>
  <c r="M22" i="11" l="1"/>
  <c r="B6" i="23" l="1"/>
  <c r="G4" i="20" l="1"/>
  <c r="M33" i="11"/>
  <c r="M32" i="11"/>
  <c r="M31" i="11"/>
  <c r="M30" i="11"/>
  <c r="I53" i="11"/>
  <c r="I52" i="11"/>
  <c r="I46" i="11"/>
  <c r="B5" i="23"/>
  <c r="B10" i="23" s="1"/>
  <c r="L35" i="11" s="1"/>
  <c r="M35" i="11" s="1"/>
  <c r="D4" i="22"/>
  <c r="D6" i="21"/>
  <c r="E6" i="21" s="1"/>
  <c r="D8" i="21"/>
  <c r="E8" i="21" s="1"/>
  <c r="D9" i="21"/>
  <c r="D11" i="21"/>
  <c r="C13" i="21"/>
  <c r="C7" i="21"/>
  <c r="D7" i="21" s="1"/>
  <c r="G7" i="20"/>
  <c r="G10" i="20"/>
  <c r="G9" i="20"/>
  <c r="G5" i="20"/>
  <c r="G8" i="20"/>
  <c r="G6" i="20"/>
  <c r="F6" i="19"/>
  <c r="F8" i="19" s="1"/>
  <c r="L23" i="26" s="1"/>
  <c r="M23" i="26" s="1"/>
  <c r="F5" i="18"/>
  <c r="F8" i="18" s="1"/>
  <c r="L23" i="11" l="1"/>
  <c r="M23" i="11" s="1"/>
  <c r="G12" i="20"/>
  <c r="D12" i="21"/>
  <c r="E12" i="21" s="1"/>
  <c r="C14" i="21"/>
  <c r="E7" i="21"/>
  <c r="F12" i="20"/>
  <c r="F13" i="20" s="1"/>
  <c r="D4" i="21"/>
  <c r="E4" i="21" s="1"/>
  <c r="D10" i="21"/>
  <c r="E10" i="21" s="1"/>
  <c r="M27" i="11"/>
  <c r="E11" i="21"/>
  <c r="D13" i="21"/>
  <c r="E13" i="21" s="1"/>
  <c r="D5" i="21"/>
  <c r="E5" i="21" s="1"/>
  <c r="E9" i="21"/>
  <c r="D14" i="21" l="1"/>
  <c r="C15" i="21" s="1"/>
  <c r="M24" i="11"/>
  <c r="C5" i="17"/>
  <c r="C8" i="17"/>
  <c r="D15" i="16"/>
  <c r="C15" i="16"/>
  <c r="D11" i="16"/>
  <c r="D9" i="16"/>
  <c r="D13" i="16" s="1"/>
  <c r="C9" i="16"/>
  <c r="C12" i="16" s="1"/>
  <c r="D15" i="15"/>
  <c r="C15" i="15"/>
  <c r="D11" i="15"/>
  <c r="D9" i="15"/>
  <c r="C9" i="15"/>
  <c r="E14" i="21" l="1"/>
  <c r="M25" i="11"/>
  <c r="D13" i="15"/>
  <c r="C13" i="17"/>
  <c r="C13" i="16"/>
  <c r="C14" i="16" s="1"/>
  <c r="C17" i="16" s="1"/>
  <c r="C12" i="15"/>
  <c r="C13" i="15"/>
  <c r="D12" i="16"/>
  <c r="D14" i="16" s="1"/>
  <c r="D12" i="15"/>
  <c r="D14" i="15" s="1"/>
  <c r="D15" i="14"/>
  <c r="C15" i="14"/>
  <c r="D11" i="14"/>
  <c r="C9" i="14"/>
  <c r="C13" i="14" s="1"/>
  <c r="D15" i="13"/>
  <c r="C15" i="13"/>
  <c r="D11" i="13"/>
  <c r="D9" i="13"/>
  <c r="C9" i="13"/>
  <c r="C13" i="13" s="1"/>
  <c r="M21" i="11" l="1"/>
  <c r="C14" i="15"/>
  <c r="C16" i="15"/>
  <c r="C17" i="15" s="1"/>
  <c r="C14" i="17"/>
  <c r="D17" i="16"/>
  <c r="C20" i="16"/>
  <c r="D16" i="15"/>
  <c r="D17" i="15" s="1"/>
  <c r="D12" i="14"/>
  <c r="D13" i="14"/>
  <c r="D14" i="14" s="1"/>
  <c r="D16" i="14" s="1"/>
  <c r="C12" i="14"/>
  <c r="C14" i="14" s="1"/>
  <c r="D12" i="13"/>
  <c r="D13" i="13"/>
  <c r="C12" i="13"/>
  <c r="C14" i="13" s="1"/>
  <c r="C20" i="15" l="1"/>
  <c r="C22" i="16"/>
  <c r="C16" i="14"/>
  <c r="C17" i="14" s="1"/>
  <c r="C24" i="15"/>
  <c r="C24" i="16"/>
  <c r="D20" i="16"/>
  <c r="D24" i="16"/>
  <c r="D20" i="15"/>
  <c r="D14" i="13"/>
  <c r="D16" i="13" s="1"/>
  <c r="C16" i="13"/>
  <c r="C17" i="13" s="1"/>
  <c r="D17" i="14"/>
  <c r="C26" i="16" l="1"/>
  <c r="C31" i="16" s="1"/>
  <c r="C34" i="16" s="1"/>
  <c r="C36" i="16" s="1"/>
  <c r="C22" i="15"/>
  <c r="C26" i="15" s="1"/>
  <c r="C31" i="15" s="1"/>
  <c r="C34" i="15" s="1"/>
  <c r="C36" i="15" s="1"/>
  <c r="D22" i="15"/>
  <c r="D24" i="15"/>
  <c r="D22" i="16"/>
  <c r="D26" i="16" s="1"/>
  <c r="D31" i="16" s="1"/>
  <c r="D34" i="16" s="1"/>
  <c r="D36" i="16" s="1"/>
  <c r="D17" i="13"/>
  <c r="D24" i="14"/>
  <c r="D20" i="14"/>
  <c r="C20" i="14"/>
  <c r="C24" i="14"/>
  <c r="C20" i="13"/>
  <c r="C37" i="16" l="1"/>
  <c r="C38" i="16" s="1"/>
  <c r="L19" i="26" s="1"/>
  <c r="M19" i="26" s="1"/>
  <c r="D26" i="15"/>
  <c r="D31" i="15" s="1"/>
  <c r="D34" i="15" s="1"/>
  <c r="D36" i="15" s="1"/>
  <c r="C37" i="15" s="1"/>
  <c r="C38" i="15" s="1"/>
  <c r="L18" i="26" s="1"/>
  <c r="M18" i="26" s="1"/>
  <c r="D20" i="13"/>
  <c r="D24" i="13"/>
  <c r="C22" i="14"/>
  <c r="C26" i="14" s="1"/>
  <c r="C31" i="14" s="1"/>
  <c r="C34" i="14" s="1"/>
  <c r="C36" i="14" s="1"/>
  <c r="D22" i="14"/>
  <c r="D26" i="14" s="1"/>
  <c r="D31" i="14" s="1"/>
  <c r="D34" i="14" s="1"/>
  <c r="D36" i="14" s="1"/>
  <c r="C22" i="13"/>
  <c r="C24" i="13"/>
  <c r="L19" i="11" l="1"/>
  <c r="M19" i="11" s="1"/>
  <c r="D22" i="13"/>
  <c r="D26" i="13" s="1"/>
  <c r="D31" i="13" s="1"/>
  <c r="D34" i="13" s="1"/>
  <c r="D36" i="13" s="1"/>
  <c r="L18" i="11"/>
  <c r="M18" i="11" s="1"/>
  <c r="C38" i="14"/>
  <c r="L17" i="26" s="1"/>
  <c r="M17" i="26" s="1"/>
  <c r="C26" i="13"/>
  <c r="C31" i="13" s="1"/>
  <c r="C34" i="13" s="1"/>
  <c r="L17" i="11" l="1"/>
  <c r="M17" i="11" s="1"/>
  <c r="C36" i="13"/>
  <c r="C37" i="13" s="1"/>
  <c r="C38" i="13" s="1"/>
  <c r="L16" i="26" s="1"/>
  <c r="M16" i="26" s="1"/>
  <c r="M34" i="26" s="1"/>
  <c r="M35" i="26" s="1"/>
  <c r="M36" i="26" s="1"/>
  <c r="M37" i="26" s="1"/>
  <c r="M34" i="11" l="1"/>
  <c r="L36" i="11" s="1"/>
  <c r="M36" i="11" l="1"/>
  <c r="M37" i="11" l="1"/>
  <c r="M38" i="11" l="1"/>
  <c r="M39" i="11" s="1"/>
</calcChain>
</file>

<file path=xl/comments1.xml><?xml version="1.0" encoding="utf-8"?>
<comments xmlns="http://schemas.openxmlformats.org/spreadsheetml/2006/main">
  <authors>
    <author>USUARIO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2 OFICINAS OHL , 1 OFCINAN ANIN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01 OFICINAS OHL, 1 OFICINAS ANIN, 1 ANTENA 1, 1 ANTENA 2
</t>
        </r>
      </text>
    </comment>
  </commentList>
</comments>
</file>

<file path=xl/comments2.xml><?xml version="1.0" encoding="utf-8"?>
<comments xmlns="http://schemas.openxmlformats.org/spreadsheetml/2006/main">
  <authors>
    <author>USUARIO</author>
  </authors>
  <commentList>
    <comment ref="F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INCLUYE MANTENIMIENTO</t>
        </r>
      </text>
    </comment>
  </commentList>
</comments>
</file>

<file path=xl/comments3.xml><?xml version="1.0" encoding="utf-8"?>
<comments xmlns="http://schemas.openxmlformats.org/spreadsheetml/2006/main">
  <authors>
    <author>USUARIO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 INCLUIRÁ ALMUERZO PERSONAL</t>
        </r>
      </text>
    </comment>
  </commentList>
</comments>
</file>

<file path=xl/comments4.xml><?xml version="1.0" encoding="utf-8"?>
<comments xmlns="http://schemas.openxmlformats.org/spreadsheetml/2006/main">
  <authors>
    <author>USUARIO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COSTO ANUAL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COSTO ANUAL</t>
        </r>
      </text>
    </comment>
  </commentList>
</comments>
</file>

<file path=xl/sharedStrings.xml><?xml version="1.0" encoding="utf-8"?>
<sst xmlns="http://schemas.openxmlformats.org/spreadsheetml/2006/main" count="403" uniqueCount="171">
  <si>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</si>
  <si>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</si>
  <si>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</si>
  <si>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</si>
  <si>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</si>
  <si>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</si>
  <si>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</si>
  <si>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</si>
  <si>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</si>
  <si>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</si>
  <si>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</si>
  <si>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</si>
  <si>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</si>
  <si>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</si>
  <si>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</si>
  <si>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</si>
  <si>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</si>
  <si>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</si>
  <si>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TOTAL</t>
  </si>
  <si>
    <t>CONDICIONES GENERALES:</t>
  </si>
  <si>
    <t>FORMA DE PAGO</t>
  </si>
  <si>
    <t>MONEDA</t>
  </si>
  <si>
    <t>ANTICIPO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</si>
  <si>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</si>
  <si>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</si>
  <si>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</si>
  <si>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</si>
  <si>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</si>
  <si>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</si>
  <si>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</si>
  <si>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</si>
  <si>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</si>
  <si>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</si>
  <si>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MES </t>
  </si>
  <si>
    <t xml:space="preserve">Agente con Armas </t>
  </si>
  <si>
    <t>Agente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</si>
  <si>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</si>
  <si>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</si>
  <si>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</si>
  <si>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</si>
  <si>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Camioneta 4x4 (incluye mantenimiento)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</si>
  <si>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</si>
  <si>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</si>
  <si>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</si>
  <si>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</si>
  <si>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</si>
  <si>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</si>
  <si>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</si>
  <si>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</si>
  <si>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Poliza de Deshonestidad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</si>
  <si>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</si>
  <si>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</si>
  <si>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</si>
  <si>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</si>
  <si>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</si>
  <si>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</si>
  <si>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</si>
  <si>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</si>
  <si>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</si>
  <si>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Agente conductor  sin Armas</t>
  </si>
  <si>
    <t xml:space="preserve">Supervisor con arma </t>
  </si>
  <si>
    <t>ANEXO A1</t>
  </si>
  <si>
    <t>ESTRUCTURA DE COSTOS MENSUAL DE LUNES A DOMINGO</t>
  </si>
  <si>
    <t>SERVICIO DE VIGILANCIA PRIVADA</t>
  </si>
  <si>
    <t>(En Soles)</t>
  </si>
  <si>
    <t>Descripción</t>
  </si>
  <si>
    <t>%</t>
  </si>
  <si>
    <t>12hrs Día</t>
  </si>
  <si>
    <t>12hrs Noche</t>
  </si>
  <si>
    <t>Remuneración</t>
  </si>
  <si>
    <t>Remuneración Mínima Mensual (RMM)</t>
  </si>
  <si>
    <t>Asignación Familiar (10% RMV) o Bonificación</t>
  </si>
  <si>
    <t>Otras cargas laborales (Detallar todos los conceptos)</t>
  </si>
  <si>
    <t xml:space="preserve">  * Bonificación Nocturna de RMM
       (RMM de 30 días)*0.35</t>
  </si>
  <si>
    <t xml:space="preserve">  * Horas Extras dos primeras  </t>
  </si>
  <si>
    <t xml:space="preserve">  * Horas Extras restantes        </t>
  </si>
  <si>
    <t>Sub total de Remuneración</t>
  </si>
  <si>
    <t>Feriados (RMM /30dias/8horas*2*12h.d.)</t>
  </si>
  <si>
    <t>Descansero ()</t>
  </si>
  <si>
    <t xml:space="preserve">A. Remuneración Total </t>
  </si>
  <si>
    <t>B. Vacaciones de (A)  (Corresponde 1 mes al año = 1/12 - 8.33%)</t>
  </si>
  <si>
    <t>C. Gratificaciones de (A) (En Julio - Diciembre, 1 vez por semestre = 1/6 = 16.67%)</t>
  </si>
  <si>
    <t>Bonificacion Extraordinaria (LEY Nº 30334)</t>
  </si>
  <si>
    <t xml:space="preserve">D. CTS de  ( A) </t>
  </si>
  <si>
    <t>Total a pagar al personal</t>
  </si>
  <si>
    <t>Aportes de la empresa (Leyes Sociales)</t>
  </si>
  <si>
    <t xml:space="preserve">    Aportes ESSALUD  de (A+B)</t>
  </si>
  <si>
    <t xml:space="preserve">    S.C.T.R. de (A+B)</t>
  </si>
  <si>
    <t>Costo Total de personal</t>
  </si>
  <si>
    <t>Uniformes, equipos y suministros relacionados</t>
  </si>
  <si>
    <t>Poliza de seguros, Carta Fianza, etc.</t>
  </si>
  <si>
    <t>Otros Gastos Operativos (carnet, licencia, alimentacion,etc.)</t>
  </si>
  <si>
    <t>Gastos COVID-19 (Mascarillas y pruebas Serológicas) (**)</t>
  </si>
  <si>
    <t>SUB TOTAL COSTO POR PUESTO</t>
  </si>
  <si>
    <t>Gastos Administrativos</t>
  </si>
  <si>
    <t>Utilidad</t>
  </si>
  <si>
    <t>Monto Total antes de IGV</t>
  </si>
  <si>
    <t>IGV (18%)</t>
  </si>
  <si>
    <t>COSTO TOTAL POR PUESTO 12 H. INC. I.G.V.   S/.</t>
  </si>
  <si>
    <t>COSTO TOTAL POR PUESTO 24 H. INC. I.G.V.   S/.</t>
  </si>
  <si>
    <t>SUPERVISOR</t>
  </si>
  <si>
    <t>PRECIO UNITARIO</t>
  </si>
  <si>
    <t>AGENTE ARMADO</t>
  </si>
  <si>
    <t>MATERIALES</t>
  </si>
  <si>
    <t>Un (01) par de binoculares de largo alcance (Mínimo 01 Km)</t>
  </si>
  <si>
    <t>Un (01) equipo Radio / Medio de Comunicación (de forma permanente)</t>
  </si>
  <si>
    <t>S/.</t>
  </si>
  <si>
    <t>Un (12) Silbato</t>
  </si>
  <si>
    <t>Un (04) equipo celular móvil con cámara y acceso a internet.</t>
  </si>
  <si>
    <t>TOTAL ANUAL</t>
  </si>
  <si>
    <t>PU MES</t>
  </si>
  <si>
    <t>Un (04) Linterna de mano (en perfecto estado, con baterías recargables, largo alcance mínimo de 50 metros).</t>
  </si>
  <si>
    <t>Un (03) Detector de metales (Garret).</t>
  </si>
  <si>
    <t xml:space="preserve">GARITA </t>
  </si>
  <si>
    <t>CUADERNOS</t>
  </si>
  <si>
    <t>UTILES DE ESCRITORIO ( LAPICEROS, PAPELERIA, REGLAS, ETC)</t>
  </si>
  <si>
    <t>EQUIPOS INFORMATICOS, GPS</t>
  </si>
  <si>
    <t xml:space="preserve">IMPRESIONES MANUALES </t>
  </si>
  <si>
    <t>CAMIONETA</t>
  </si>
  <si>
    <t>CAMIONETA PICK UP 4X4</t>
  </si>
  <si>
    <t>COMBUSTIBLE</t>
  </si>
  <si>
    <t>BOTAS DE SEGURIDAD PUNTA DE ACERO SEGPRO</t>
  </si>
  <si>
    <t>CHALECOS DRILL</t>
  </si>
  <si>
    <t>1ER SEMESTRE</t>
  </si>
  <si>
    <t>2DO SEMESTRE</t>
  </si>
  <si>
    <t>BARBIQUEJO</t>
  </si>
  <si>
    <t>LENTES DE SEGURIDAD</t>
  </si>
  <si>
    <t>TAPONES AUDITIVOS</t>
  </si>
  <si>
    <t>CASCO TRIDENTE</t>
  </si>
  <si>
    <t>GUANTE ANTICORTE</t>
  </si>
  <si>
    <t xml:space="preserve">TOTAL </t>
  </si>
  <si>
    <t>SEÑALETICAS</t>
  </si>
  <si>
    <t>EPPS</t>
  </si>
  <si>
    <t>dos (02) camisas c/cuello y manga larga,</t>
  </si>
  <si>
    <t>UNIFORMES</t>
  </si>
  <si>
    <t>SUB TOTALES</t>
  </si>
  <si>
    <t>dos (02) pantalones en tela drill con reactivo UV,</t>
  </si>
  <si>
    <t>un (01) par de borceguís tipo militar</t>
  </si>
  <si>
    <t>una (01) correa de cuero,</t>
  </si>
  <si>
    <t>un (01) casco de seguridad color verde,</t>
  </si>
  <si>
    <t>una (01) chompa con logotipo de la empresa subcontratista y dos cintas reflectivas en ambos brazos.</t>
  </si>
  <si>
    <t>una (01) porta vara de cuero,</t>
  </si>
  <si>
    <t>una (01) vara de goma,</t>
  </si>
  <si>
    <t>un (01) chaleco antibalas,</t>
  </si>
  <si>
    <t>un (01) poncho impermeable de PVC con capucha y broches.</t>
  </si>
  <si>
    <t>ALIMENTACION</t>
  </si>
  <si>
    <t>ALIMENTACION PERSONAL</t>
  </si>
  <si>
    <t>SEGURO CAMIONETA</t>
  </si>
  <si>
    <t>MANTENIMIENTO EQUIPOS</t>
  </si>
  <si>
    <t>ADMINISTRATIVOS</t>
  </si>
  <si>
    <t xml:space="preserve">ARMAS </t>
  </si>
  <si>
    <t>CAPACITACIONES</t>
  </si>
  <si>
    <t>GRUPO L&amp;S SERVICIOS EMPRESARIALES SAC</t>
  </si>
  <si>
    <t>AV PANORAMICA S/N - TERCERA CUADRA</t>
  </si>
  <si>
    <t>LIZ LEON</t>
  </si>
  <si>
    <t>AGENTE SIN ARMA</t>
  </si>
  <si>
    <t xml:space="preserve">Seguro de resonsabilida Civil </t>
  </si>
  <si>
    <t>P</t>
  </si>
  <si>
    <t>EXMANES MEDICOS OCUP</t>
  </si>
  <si>
    <t>AGENTE CONDUCTOR</t>
  </si>
  <si>
    <t>CARTA FIANZA DE FIEL CUMPLIMIENTO (10%)</t>
  </si>
  <si>
    <t>SI</t>
  </si>
  <si>
    <t>RETENCION POR GARANTIA DEL 5%</t>
  </si>
  <si>
    <t>ANUAL</t>
  </si>
  <si>
    <t>COSTO ANUAL</t>
  </si>
  <si>
    <t>CU/ PERSONA</t>
  </si>
  <si>
    <t>Vida Ley  TASA 0.6%</t>
  </si>
  <si>
    <t>A CUENTA DE CARTA FIANZA RETENCION DEL 10%</t>
  </si>
  <si>
    <t>Comprende almuerzo y rancho frio</t>
  </si>
  <si>
    <t xml:space="preserve">2 CAMARAS </t>
  </si>
  <si>
    <t>A 07 DIAS DE BUENA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</si>
</sst>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(* #,##0.00_);_(* \(#,##0.00\);_(* &quot;-&quot;??_);_(@_)"/>
    <numFmt numFmtId="165" formatCode="_(&quot;S/.&quot;\ * #,##0.00_);_(&quot;S/.&quot;\ * \(#,##0.00\);_(&quot;S/.&quot;\ * &quot;-&quot;??_);_(@_)"/>
    <numFmt numFmtId="166" formatCode="_ [$€-2]* #,##0.00_ ;_ [$€-2]* \-#,##0.00_ ;_ [$€-2]* &quot;-&quot;??_ "/>
    <numFmt numFmtId="167" formatCode="#,##0.0000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43" fontId="21" fillId="0" borderId="0" applyFont="0" applyFill="0" applyBorder="0" applyAlignment="0" applyProtection="0"/>
    <xf numFmtId="0" fontId="19" fillId="0" borderId="0"/>
    <xf numFmtId="166" fontId="2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4">
    <xf numFmtId="0" fontId="0" fillId="0" borderId="0" xfId="0"/>
    <xf numFmtId="0" fontId="38" fillId="0" borderId="0" xfId="33" applyFont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4" fillId="35" borderId="16" xfId="33" applyFont="1" applyFill="1" applyBorder="1" applyAlignment="1">
      <alignment horizontal="center" vertical="center"/>
    </xf>
    <xf numFmtId="0" fontId="54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6" fillId="35" borderId="34" xfId="33" applyFont="1" applyFill="1" applyBorder="1" applyAlignment="1">
      <alignment horizontal="centerContinuous" vertical="center" wrapText="1"/>
    </xf>
    <xf numFmtId="0" fontId="56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7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1" fillId="0" borderId="15" xfId="216" applyNumberFormat="1" applyFont="1" applyFill="1" applyBorder="1" applyAlignment="1">
      <alignment horizontal="center" vertical="center"/>
    </xf>
    <xf numFmtId="0" fontId="57" fillId="0" borderId="33" xfId="215" applyNumberFormat="1" applyFont="1" applyFill="1" applyBorder="1" applyAlignment="1">
      <alignment horizontal="center" vertical="center" wrapText="1"/>
    </xf>
    <xf numFmtId="4" fontId="64" fillId="0" borderId="36" xfId="33" applyNumberFormat="1" applyFont="1" applyBorder="1" applyAlignment="1">
      <alignment vertical="center" wrapText="1"/>
    </xf>
    <xf numFmtId="4" fontId="65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4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67" fillId="36" borderId="52" xfId="0" applyFont="1" applyFill="1" applyBorder="1" applyAlignment="1">
      <alignment horizontal="center" vertical="center"/>
    </xf>
    <xf numFmtId="0" fontId="68" fillId="36" borderId="53" xfId="0" applyFont="1" applyFill="1" applyBorder="1" applyAlignment="1">
      <alignment horizontal="center" vertical="center" wrapText="1"/>
    </xf>
    <xf numFmtId="3" fontId="68" fillId="36" borderId="53" xfId="0" applyNumberFormat="1" applyFont="1" applyFill="1" applyBorder="1" applyAlignment="1">
      <alignment horizontal="center" vertical="center" wrapText="1"/>
    </xf>
    <xf numFmtId="0" fontId="68" fillId="36" borderId="53" xfId="215" applyNumberFormat="1" applyFont="1" applyFill="1" applyBorder="1" applyAlignment="1">
      <alignment vertical="center" wrapText="1"/>
    </xf>
    <xf numFmtId="4" fontId="69" fillId="36" borderId="53" xfId="33" applyNumberFormat="1" applyFont="1" applyFill="1" applyBorder="1" applyAlignment="1">
      <alignment vertical="center" wrapText="1"/>
    </xf>
    <xf numFmtId="4" fontId="69" fillId="36" borderId="54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1" fontId="57" fillId="0" borderId="33" xfId="0" applyNumberFormat="1" applyFont="1" applyBorder="1" applyAlignment="1">
      <alignment horizontal="center" vertical="center" wrapText="1"/>
    </xf>
    <xf numFmtId="0" fontId="71" fillId="0" borderId="0" xfId="33" applyFont="1"/>
    <xf numFmtId="0" fontId="19" fillId="0" borderId="0" xfId="33" applyBorder="1"/>
    <xf numFmtId="0" fontId="65" fillId="0" borderId="0" xfId="33" applyFont="1" applyBorder="1"/>
    <xf numFmtId="0" fontId="73" fillId="0" borderId="0" xfId="33" applyFont="1"/>
    <xf numFmtId="0" fontId="73" fillId="0" borderId="0" xfId="33" applyFont="1" applyAlignment="1">
      <alignment horizontal="center"/>
    </xf>
    <xf numFmtId="0" fontId="72" fillId="0" borderId="0" xfId="33" applyFont="1" applyBorder="1" applyAlignment="1">
      <alignment vertical="center"/>
    </xf>
    <xf numFmtId="0" fontId="65" fillId="0" borderId="0" xfId="33" applyFont="1"/>
    <xf numFmtId="0" fontId="60" fillId="35" borderId="33" xfId="33" applyFont="1" applyFill="1" applyBorder="1" applyAlignment="1">
      <alignment vertical="center"/>
    </xf>
    <xf numFmtId="0" fontId="75" fillId="0" borderId="33" xfId="33" applyFont="1" applyBorder="1" applyAlignment="1">
      <alignment horizontal="left" vertical="center"/>
    </xf>
    <xf numFmtId="0" fontId="40" fillId="0" borderId="0" xfId="33" applyFont="1" applyBorder="1" applyAlignment="1">
      <alignment horizontal="center"/>
    </xf>
    <xf numFmtId="0" fontId="71" fillId="0" borderId="0" xfId="33" applyFont="1" applyBorder="1"/>
    <xf numFmtId="0" fontId="76" fillId="0" borderId="0" xfId="0" applyFont="1" applyAlignment="1">
      <alignment vertical="center"/>
    </xf>
    <xf numFmtId="0" fontId="19" fillId="0" borderId="0" xfId="14" applyFont="1" applyBorder="1" applyAlignment="1">
      <alignment vertical="center"/>
    </xf>
    <xf numFmtId="0" fontId="19" fillId="0" borderId="0" xfId="14" applyFont="1" applyFill="1" applyBorder="1" applyAlignment="1">
      <alignment vertical="center"/>
    </xf>
    <xf numFmtId="0" fontId="77" fillId="0" borderId="33" xfId="14" applyFont="1" applyFill="1" applyBorder="1" applyAlignment="1">
      <alignment horizontal="center" vertical="center"/>
    </xf>
    <xf numFmtId="0" fontId="78" fillId="0" borderId="33" xfId="14" applyFont="1" applyFill="1" applyBorder="1" applyAlignment="1">
      <alignment horizontal="center" vertical="center"/>
    </xf>
    <xf numFmtId="0" fontId="77" fillId="0" borderId="33" xfId="14" applyFont="1" applyFill="1" applyBorder="1" applyAlignment="1">
      <alignment horizontal="center" vertical="center" wrapText="1"/>
    </xf>
    <xf numFmtId="0" fontId="77" fillId="0" borderId="33" xfId="14" applyFont="1" applyFill="1" applyBorder="1" applyAlignment="1">
      <alignment horizontal="left" vertical="center"/>
    </xf>
    <xf numFmtId="4" fontId="78" fillId="0" borderId="33" xfId="14" applyNumberFormat="1" applyFont="1" applyFill="1" applyBorder="1" applyAlignment="1">
      <alignment horizontal="center" vertical="center" wrapText="1"/>
    </xf>
    <xf numFmtId="0" fontId="78" fillId="0" borderId="33" xfId="14" applyFont="1" applyFill="1" applyBorder="1" applyAlignment="1">
      <alignment vertical="center"/>
    </xf>
    <xf numFmtId="0" fontId="77" fillId="0" borderId="33" xfId="14" applyFont="1" applyFill="1" applyBorder="1" applyAlignment="1">
      <alignment vertical="center"/>
    </xf>
    <xf numFmtId="4" fontId="78" fillId="37" borderId="33" xfId="14" applyNumberFormat="1" applyFont="1" applyFill="1" applyBorder="1" applyAlignment="1">
      <alignment horizontal="center" vertical="center" wrapText="1"/>
    </xf>
    <xf numFmtId="0" fontId="78" fillId="0" borderId="33" xfId="14" applyFont="1" applyBorder="1" applyAlignment="1">
      <alignment vertical="center"/>
    </xf>
    <xf numFmtId="4" fontId="77" fillId="0" borderId="33" xfId="14" applyNumberFormat="1" applyFont="1" applyBorder="1" applyAlignment="1">
      <alignment horizontal="center" vertical="center"/>
    </xf>
    <xf numFmtId="4" fontId="78" fillId="0" borderId="33" xfId="14" quotePrefix="1" applyNumberFormat="1" applyFont="1" applyFill="1" applyBorder="1" applyAlignment="1">
      <alignment horizontal="center" vertical="center" wrapText="1"/>
    </xf>
    <xf numFmtId="0" fontId="78" fillId="0" borderId="33" xfId="14" applyFont="1" applyBorder="1" applyAlignment="1">
      <alignment vertical="center" wrapText="1"/>
    </xf>
    <xf numFmtId="0" fontId="77" fillId="0" borderId="33" xfId="14" applyFont="1" applyBorder="1" applyAlignment="1">
      <alignment horizontal="center" vertical="center"/>
    </xf>
    <xf numFmtId="4" fontId="77" fillId="0" borderId="33" xfId="14" applyNumberFormat="1" applyFont="1" applyFill="1" applyBorder="1" applyAlignment="1">
      <alignment horizontal="center" vertical="center" wrapText="1"/>
    </xf>
    <xf numFmtId="4" fontId="77" fillId="0" borderId="33" xfId="14" applyNumberFormat="1" applyFont="1" applyBorder="1" applyAlignment="1">
      <alignment horizontal="center" vertical="center" wrapText="1"/>
    </xf>
    <xf numFmtId="4" fontId="78" fillId="0" borderId="33" xfId="14" applyNumberFormat="1" applyFont="1" applyBorder="1" applyAlignment="1">
      <alignment horizontal="center" vertical="center" wrapText="1"/>
    </xf>
    <xf numFmtId="0" fontId="78" fillId="0" borderId="58" xfId="14" applyFont="1" applyBorder="1" applyAlignment="1">
      <alignment vertical="center"/>
    </xf>
    <xf numFmtId="4" fontId="77" fillId="0" borderId="58" xfId="14" applyNumberFormat="1" applyFont="1" applyBorder="1" applyAlignment="1">
      <alignment horizontal="center" vertical="center"/>
    </xf>
    <xf numFmtId="4" fontId="78" fillId="0" borderId="58" xfId="14" quotePrefix="1" applyNumberFormat="1" applyFont="1" applyFill="1" applyBorder="1" applyAlignment="1">
      <alignment horizontal="center" vertical="center" wrapText="1"/>
    </xf>
    <xf numFmtId="0" fontId="77" fillId="0" borderId="64" xfId="14" applyFont="1" applyBorder="1" applyAlignment="1">
      <alignment vertical="center"/>
    </xf>
    <xf numFmtId="4" fontId="77" fillId="0" borderId="34" xfId="14" applyNumberFormat="1" applyFont="1" applyBorder="1" applyAlignment="1">
      <alignment horizontal="center" vertical="center"/>
    </xf>
    <xf numFmtId="4" fontId="77" fillId="0" borderId="34" xfId="14" quotePrefix="1" applyNumberFormat="1" applyFont="1" applyBorder="1" applyAlignment="1">
      <alignment horizontal="center" vertical="center" wrapText="1"/>
    </xf>
    <xf numFmtId="4" fontId="77" fillId="0" borderId="65" xfId="14" quotePrefix="1" applyNumberFormat="1" applyFont="1" applyBorder="1" applyAlignment="1">
      <alignment horizontal="center" vertical="center" wrapText="1"/>
    </xf>
    <xf numFmtId="4" fontId="19" fillId="0" borderId="0" xfId="14" applyNumberFormat="1" applyFont="1" applyBorder="1" applyAlignment="1">
      <alignment vertical="center"/>
    </xf>
    <xf numFmtId="0" fontId="78" fillId="0" borderId="66" xfId="14" applyFont="1" applyBorder="1" applyAlignment="1">
      <alignment vertical="center"/>
    </xf>
    <xf numFmtId="4" fontId="77" fillId="0" borderId="66" xfId="14" applyNumberFormat="1" applyFont="1" applyBorder="1" applyAlignment="1">
      <alignment horizontal="center" vertical="center"/>
    </xf>
    <xf numFmtId="4" fontId="78" fillId="0" borderId="66" xfId="14" quotePrefix="1" applyNumberFormat="1" applyFont="1" applyBorder="1" applyAlignment="1">
      <alignment horizontal="center" vertical="center" wrapText="1"/>
    </xf>
    <xf numFmtId="4" fontId="78" fillId="0" borderId="58" xfId="14" quotePrefix="1" applyNumberFormat="1" applyFont="1" applyBorder="1" applyAlignment="1">
      <alignment horizontal="center" vertical="center" wrapText="1"/>
    </xf>
    <xf numFmtId="0" fontId="77" fillId="0" borderId="34" xfId="14" applyFont="1" applyBorder="1" applyAlignment="1">
      <alignment horizontal="center" vertical="center"/>
    </xf>
    <xf numFmtId="0" fontId="78" fillId="0" borderId="66" xfId="14" applyFont="1" applyBorder="1" applyAlignment="1">
      <alignment vertical="center" wrapText="1"/>
    </xf>
    <xf numFmtId="4" fontId="78" fillId="0" borderId="33" xfId="14" quotePrefix="1" applyNumberFormat="1" applyFont="1" applyBorder="1" applyAlignment="1">
      <alignment horizontal="center" vertical="center" wrapText="1"/>
    </xf>
    <xf numFmtId="0" fontId="78" fillId="38" borderId="58" xfId="14" applyFont="1" applyFill="1" applyBorder="1" applyAlignment="1">
      <alignment vertical="center" wrapText="1"/>
    </xf>
    <xf numFmtId="4" fontId="77" fillId="38" borderId="58" xfId="14" applyNumberFormat="1" applyFont="1" applyFill="1" applyBorder="1" applyAlignment="1">
      <alignment horizontal="center" vertical="center"/>
    </xf>
    <xf numFmtId="4" fontId="78" fillId="38" borderId="58" xfId="14" quotePrefix="1" applyNumberFormat="1" applyFont="1" applyFill="1" applyBorder="1" applyAlignment="1">
      <alignment horizontal="center" vertical="center" wrapText="1"/>
    </xf>
    <xf numFmtId="0" fontId="78" fillId="0" borderId="58" xfId="14" applyFont="1" applyBorder="1" applyAlignment="1">
      <alignment vertical="center" wrapText="1"/>
    </xf>
    <xf numFmtId="0" fontId="77" fillId="0" borderId="66" xfId="14" applyFont="1" applyBorder="1" applyAlignment="1">
      <alignment vertical="center"/>
    </xf>
    <xf numFmtId="4" fontId="78" fillId="0" borderId="66" xfId="14" applyNumberFormat="1" applyFont="1" applyBorder="1" applyAlignment="1">
      <alignment horizontal="center" vertical="center" wrapText="1"/>
    </xf>
    <xf numFmtId="4" fontId="77" fillId="0" borderId="33" xfId="14" quotePrefix="1" applyNumberFormat="1" applyFont="1" applyFill="1" applyBorder="1" applyAlignment="1">
      <alignment horizontal="center" vertical="center" wrapText="1"/>
    </xf>
    <xf numFmtId="0" fontId="78" fillId="0" borderId="33" xfId="14" applyFont="1" applyBorder="1" applyAlignment="1">
      <alignment horizontal="left" vertical="center"/>
    </xf>
    <xf numFmtId="0" fontId="77" fillId="0" borderId="33" xfId="14" applyFont="1" applyBorder="1" applyAlignment="1">
      <alignment horizontal="left" vertical="center"/>
    </xf>
    <xf numFmtId="0" fontId="78" fillId="0" borderId="33" xfId="14" applyFont="1" applyFill="1" applyBorder="1" applyAlignment="1">
      <alignment horizontal="left" vertical="center"/>
    </xf>
    <xf numFmtId="4" fontId="78" fillId="37" borderId="33" xfId="14" quotePrefix="1" applyNumberFormat="1" applyFont="1" applyFill="1" applyBorder="1" applyAlignment="1">
      <alignment horizontal="center" vertical="center" wrapText="1"/>
    </xf>
    <xf numFmtId="0" fontId="77" fillId="0" borderId="33" xfId="14" applyFont="1" applyBorder="1" applyAlignment="1">
      <alignment vertical="center"/>
    </xf>
    <xf numFmtId="4" fontId="77" fillId="0" borderId="33" xfId="14" quotePrefix="1" applyNumberFormat="1" applyFont="1" applyBorder="1" applyAlignment="1">
      <alignment horizontal="center" vertical="center" wrapText="1"/>
    </xf>
    <xf numFmtId="0" fontId="19" fillId="0" borderId="0" xfId="14" applyFont="1" applyAlignment="1">
      <alignment vertical="center"/>
    </xf>
    <xf numFmtId="0" fontId="78" fillId="0" borderId="0" xfId="14" applyFont="1" applyBorder="1" applyAlignment="1">
      <alignment vertical="center"/>
    </xf>
    <xf numFmtId="0" fontId="77" fillId="0" borderId="0" xfId="14" applyFont="1" applyBorder="1" applyAlignment="1">
      <alignment horizontal="left" vertical="center"/>
    </xf>
    <xf numFmtId="4" fontId="19" fillId="0" borderId="0" xfId="14" applyNumberFormat="1" applyFont="1" applyBorder="1" applyAlignment="1">
      <alignment horizontal="center" vertical="center" wrapText="1"/>
    </xf>
    <xf numFmtId="0" fontId="19" fillId="0" borderId="0" xfId="14" applyFont="1" applyAlignment="1">
      <alignment vertical="center" wrapText="1"/>
    </xf>
    <xf numFmtId="43" fontId="77" fillId="0" borderId="33" xfId="215" quotePrefix="1" applyFont="1" applyBorder="1" applyAlignment="1">
      <alignment vertical="center" wrapText="1"/>
    </xf>
    <xf numFmtId="0" fontId="78" fillId="39" borderId="0" xfId="14" applyFont="1" applyFill="1" applyBorder="1" applyAlignment="1">
      <alignment vertical="center"/>
    </xf>
    <xf numFmtId="0" fontId="77" fillId="39" borderId="0" xfId="14" applyFont="1" applyFill="1" applyBorder="1" applyAlignment="1">
      <alignment horizontal="left" vertical="center"/>
    </xf>
    <xf numFmtId="4" fontId="19" fillId="39" borderId="0" xfId="14" applyNumberFormat="1" applyFont="1" applyFill="1" applyBorder="1" applyAlignment="1">
      <alignment horizontal="center" vertical="center" wrapText="1"/>
    </xf>
    <xf numFmtId="43" fontId="77" fillId="0" borderId="33" xfId="215" quotePrefix="1" applyFont="1" applyBorder="1" applyAlignment="1">
      <alignment horizontal="left" vertical="center" wrapText="1"/>
    </xf>
    <xf numFmtId="0" fontId="77" fillId="39" borderId="0" xfId="14" applyFont="1" applyFill="1" applyBorder="1" applyAlignment="1">
      <alignment vertical="center"/>
    </xf>
    <xf numFmtId="4" fontId="41" fillId="39" borderId="0" xfId="14" applyNumberFormat="1" applyFont="1" applyFill="1" applyBorder="1" applyAlignment="1">
      <alignment horizontal="center" vertical="center" wrapText="1"/>
    </xf>
    <xf numFmtId="4" fontId="78" fillId="40" borderId="33" xfId="14" applyNumberFormat="1" applyFont="1" applyFill="1" applyBorder="1" applyAlignment="1">
      <alignment horizontal="center" vertical="center" wrapText="1"/>
    </xf>
    <xf numFmtId="0" fontId="81" fillId="0" borderId="0" xfId="0" applyFont="1"/>
    <xf numFmtId="43" fontId="0" fillId="0" borderId="0" xfId="215" applyFont="1"/>
    <xf numFmtId="43" fontId="0" fillId="0" borderId="13" xfId="215" applyFont="1" applyBorder="1"/>
    <xf numFmtId="0" fontId="0" fillId="0" borderId="33" xfId="0" applyBorder="1"/>
    <xf numFmtId="43" fontId="0" fillId="0" borderId="33" xfId="215" applyFont="1" applyBorder="1"/>
    <xf numFmtId="0" fontId="16" fillId="40" borderId="0" xfId="0" applyFont="1" applyFill="1"/>
    <xf numFmtId="43" fontId="16" fillId="40" borderId="0" xfId="215" applyFont="1" applyFill="1"/>
    <xf numFmtId="0" fontId="16" fillId="0" borderId="0" xfId="0" applyFont="1" applyAlignment="1">
      <alignment horizontal="right"/>
    </xf>
    <xf numFmtId="0" fontId="16" fillId="0" borderId="33" xfId="0" applyFont="1" applyBorder="1"/>
    <xf numFmtId="0" fontId="0" fillId="0" borderId="33" xfId="0" applyBorder="1" applyAlignment="1">
      <alignment horizontal="right"/>
    </xf>
    <xf numFmtId="0" fontId="0" fillId="0" borderId="0" xfId="0" applyFill="1" applyBorder="1"/>
    <xf numFmtId="43" fontId="0" fillId="0" borderId="33" xfId="0" applyNumberFormat="1" applyBorder="1"/>
    <xf numFmtId="4" fontId="50" fillId="0" borderId="21" xfId="33" applyNumberFormat="1" applyFont="1" applyBorder="1" applyAlignment="1">
      <alignment vertical="center" wrapText="1"/>
    </xf>
    <xf numFmtId="43" fontId="0" fillId="0" borderId="0" xfId="0" applyNumberFormat="1"/>
    <xf numFmtId="4" fontId="0" fillId="0" borderId="0" xfId="0" applyNumberFormat="1"/>
    <xf numFmtId="0" fontId="75" fillId="0" borderId="33" xfId="33" applyFont="1" applyBorder="1" applyAlignment="1">
      <alignment horizontal="left" vertical="center"/>
    </xf>
    <xf numFmtId="0" fontId="0" fillId="0" borderId="0" xfId="0" applyFont="1"/>
    <xf numFmtId="0" fontId="82" fillId="0" borderId="33" xfId="33" applyFont="1" applyBorder="1" applyAlignment="1">
      <alignment horizontal="left" vertical="center"/>
    </xf>
    <xf numFmtId="9" fontId="82" fillId="0" borderId="59" xfId="33" applyNumberFormat="1" applyFont="1" applyBorder="1" applyAlignment="1">
      <alignment horizontal="center" vertical="center"/>
    </xf>
    <xf numFmtId="0" fontId="82" fillId="0" borderId="59" xfId="33" applyFont="1" applyBorder="1" applyAlignment="1">
      <alignment horizontal="center" vertical="center"/>
    </xf>
    <xf numFmtId="0" fontId="83" fillId="0" borderId="27" xfId="33" applyFont="1" applyBorder="1" applyAlignment="1">
      <alignment vertical="center"/>
    </xf>
    <xf numFmtId="0" fontId="46" fillId="0" borderId="0" xfId="33" applyFont="1" applyAlignment="1">
      <alignment vertical="center"/>
    </xf>
    <xf numFmtId="0" fontId="46" fillId="0" borderId="11" xfId="33" applyFont="1" applyBorder="1" applyAlignment="1">
      <alignment vertical="center"/>
    </xf>
    <xf numFmtId="0" fontId="83" fillId="0" borderId="20" xfId="33" applyFont="1" applyBorder="1" applyAlignment="1">
      <alignment horizontal="center" vertical="center"/>
    </xf>
    <xf numFmtId="0" fontId="83" fillId="0" borderId="21" xfId="33" applyFont="1" applyBorder="1" applyAlignment="1">
      <alignment horizontal="center" vertical="center"/>
    </xf>
    <xf numFmtId="49" fontId="0" fillId="0" borderId="0" xfId="0" applyNumberFormat="1"/>
    <xf numFmtId="0" fontId="75" fillId="0" borderId="33" xfId="33" applyFont="1" applyBorder="1" applyAlignment="1">
      <alignment horizontal="left" vertical="center"/>
    </xf>
    <xf numFmtId="0" fontId="75" fillId="0" borderId="33" xfId="33" applyFont="1" applyBorder="1" applyAlignment="1">
      <alignment horizontal="center" vertical="center"/>
    </xf>
    <xf numFmtId="0" fontId="64" fillId="0" borderId="21" xfId="33" applyFont="1" applyBorder="1" applyAlignment="1">
      <alignment horizontal="center" vertical="center"/>
    </xf>
    <xf numFmtId="0" fontId="64" fillId="0" borderId="20" xfId="33" applyFont="1" applyBorder="1" applyAlignment="1">
      <alignment horizontal="center" vertical="center"/>
    </xf>
    <xf numFmtId="0" fontId="64" fillId="0" borderId="27" xfId="33" applyFont="1" applyBorder="1" applyAlignment="1">
      <alignment horizontal="center" vertical="center"/>
    </xf>
    <xf numFmtId="0" fontId="75" fillId="33" borderId="33" xfId="33" applyFont="1" applyFill="1" applyBorder="1" applyAlignment="1">
      <alignment horizontal="left" vertical="center"/>
    </xf>
    <xf numFmtId="0" fontId="43" fillId="0" borderId="21" xfId="33" applyFont="1" applyBorder="1" applyAlignment="1">
      <alignment horizontal="center" vertical="center"/>
    </xf>
    <xf numFmtId="0" fontId="43" fillId="0" borderId="20" xfId="33" applyFont="1" applyBorder="1" applyAlignment="1">
      <alignment horizontal="center" vertical="center"/>
    </xf>
    <xf numFmtId="0" fontId="43" fillId="0" borderId="27" xfId="33" applyFont="1" applyBorder="1" applyAlignment="1">
      <alignment horizontal="center" vertical="center"/>
    </xf>
    <xf numFmtId="0" fontId="75" fillId="0" borderId="33" xfId="33" applyFont="1" applyBorder="1" applyAlignment="1">
      <alignment horizontal="left" vertical="center" wrapText="1"/>
    </xf>
    <xf numFmtId="0" fontId="83" fillId="0" borderId="21" xfId="33" applyFont="1" applyBorder="1" applyAlignment="1">
      <alignment horizontal="center" vertical="distributed"/>
    </xf>
    <xf numFmtId="0" fontId="83" fillId="0" borderId="20" xfId="33" applyFont="1" applyBorder="1" applyAlignment="1">
      <alignment horizontal="center" vertical="distributed"/>
    </xf>
    <xf numFmtId="0" fontId="83" fillId="0" borderId="27" xfId="33" applyFont="1" applyBorder="1" applyAlignment="1">
      <alignment horizontal="center" vertical="distributed"/>
    </xf>
    <xf numFmtId="0" fontId="75" fillId="0" borderId="59" xfId="33" applyFont="1" applyBorder="1" applyAlignment="1">
      <alignment horizontal="center" vertical="center"/>
    </xf>
    <xf numFmtId="0" fontId="75" fillId="0" borderId="56" xfId="33" applyFont="1" applyBorder="1" applyAlignment="1">
      <alignment horizontal="center" vertical="center"/>
    </xf>
    <xf numFmtId="9" fontId="75" fillId="0" borderId="56" xfId="33" applyNumberFormat="1" applyFont="1" applyBorder="1" applyAlignment="1">
      <alignment horizontal="center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Border="1" applyAlignment="1">
      <alignment horizontal="center" vertical="center"/>
    </xf>
    <xf numFmtId="0" fontId="74" fillId="35" borderId="60" xfId="33" applyFont="1" applyFill="1" applyBorder="1" applyAlignment="1">
      <alignment horizontal="center" vertical="center"/>
    </xf>
    <xf numFmtId="0" fontId="74" fillId="35" borderId="26" xfId="33" applyFont="1" applyFill="1" applyBorder="1" applyAlignment="1">
      <alignment horizontal="center" vertical="center"/>
    </xf>
    <xf numFmtId="0" fontId="74" fillId="35" borderId="61" xfId="33" applyFont="1" applyFill="1" applyBorder="1" applyAlignment="1">
      <alignment horizontal="center" vertical="center"/>
    </xf>
    <xf numFmtId="0" fontId="64" fillId="0" borderId="62" xfId="33" applyFont="1" applyBorder="1" applyAlignment="1">
      <alignment horizontal="center" vertical="center"/>
    </xf>
    <xf numFmtId="0" fontId="64" fillId="0" borderId="24" xfId="33" applyFont="1" applyBorder="1" applyAlignment="1">
      <alignment horizontal="center" vertical="center"/>
    </xf>
    <xf numFmtId="0" fontId="64" fillId="0" borderId="63" xfId="33" applyFont="1" applyBorder="1" applyAlignment="1">
      <alignment horizontal="center" vertical="center"/>
    </xf>
    <xf numFmtId="49" fontId="60" fillId="34" borderId="35" xfId="0" applyNumberFormat="1" applyFont="1" applyFill="1" applyBorder="1" applyAlignment="1">
      <alignment horizontal="left" vertical="center" wrapText="1"/>
    </xf>
    <xf numFmtId="49" fontId="60" fillId="34" borderId="13" xfId="0" applyNumberFormat="1" applyFont="1" applyFill="1" applyBorder="1" applyAlignment="1">
      <alignment horizontal="left" vertical="center" wrapText="1"/>
    </xf>
    <xf numFmtId="49" fontId="60" fillId="34" borderId="14" xfId="0" applyNumberFormat="1" applyFont="1" applyFill="1" applyBorder="1" applyAlignment="1">
      <alignment horizontal="left" vertical="center" wrapText="1"/>
    </xf>
    <xf numFmtId="0" fontId="66" fillId="0" borderId="48" xfId="0" applyFont="1" applyBorder="1" applyAlignment="1">
      <alignment horizontal="right" vertical="center"/>
    </xf>
    <xf numFmtId="0" fontId="66" fillId="0" borderId="49" xfId="0" applyFont="1" applyBorder="1" applyAlignment="1">
      <alignment horizontal="right" vertical="center"/>
    </xf>
    <xf numFmtId="0" fontId="66" fillId="0" borderId="38" xfId="0" applyFont="1" applyBorder="1" applyAlignment="1">
      <alignment horizontal="right" vertical="center"/>
    </xf>
    <xf numFmtId="0" fontId="70" fillId="0" borderId="0" xfId="33" applyFont="1" applyAlignment="1">
      <alignment vertical="center"/>
    </xf>
    <xf numFmtId="49" fontId="58" fillId="0" borderId="53" xfId="0" applyNumberFormat="1" applyFont="1" applyBorder="1" applyAlignment="1">
      <alignment horizontal="left" vertical="center" wrapText="1"/>
    </xf>
    <xf numFmtId="49" fontId="58" fillId="0" borderId="55" xfId="0" applyNumberFormat="1" applyFont="1" applyBorder="1" applyAlignment="1">
      <alignment horizontal="left" vertical="center" wrapText="1"/>
    </xf>
    <xf numFmtId="49" fontId="58" fillId="0" borderId="56" xfId="0" applyNumberFormat="1" applyFont="1" applyBorder="1" applyAlignment="1">
      <alignment horizontal="left" vertical="center" wrapText="1"/>
    </xf>
    <xf numFmtId="49" fontId="58" fillId="0" borderId="57" xfId="0" applyNumberFormat="1" applyFont="1" applyBorder="1" applyAlignment="1">
      <alignment horizontal="left" vertical="center" wrapText="1"/>
    </xf>
    <xf numFmtId="49" fontId="62" fillId="34" borderId="35" xfId="0" applyNumberFormat="1" applyFont="1" applyFill="1" applyBorder="1" applyAlignment="1">
      <alignment horizontal="left" vertical="center" wrapText="1"/>
    </xf>
    <xf numFmtId="49" fontId="62" fillId="34" borderId="13" xfId="0" applyNumberFormat="1" applyFont="1" applyFill="1" applyBorder="1" applyAlignment="1">
      <alignment horizontal="left" vertical="center" wrapText="1"/>
    </xf>
    <xf numFmtId="49" fontId="62" fillId="34" borderId="14" xfId="0" applyNumberFormat="1" applyFont="1" applyFill="1" applyBorder="1" applyAlignment="1">
      <alignment horizontal="left" vertical="center" wrapText="1"/>
    </xf>
    <xf numFmtId="49" fontId="67" fillId="36" borderId="53" xfId="0" applyNumberFormat="1" applyFont="1" applyFill="1" applyBorder="1" applyAlignment="1">
      <alignment horizontal="left" vertical="center" wrapText="1"/>
    </xf>
    <xf numFmtId="49" fontId="58" fillId="0" borderId="21" xfId="0" applyNumberFormat="1" applyFont="1" applyBorder="1" applyAlignment="1">
      <alignment horizontal="left" vertical="center" wrapText="1"/>
    </xf>
    <xf numFmtId="49" fontId="58" fillId="0" borderId="20" xfId="0" applyNumberFormat="1" applyFont="1" applyBorder="1" applyAlignment="1">
      <alignment horizontal="left" vertical="center" wrapText="1"/>
    </xf>
    <xf numFmtId="49" fontId="58" fillId="0" borderId="27" xfId="0" applyNumberFormat="1" applyFont="1" applyBorder="1" applyAlignment="1">
      <alignment horizontal="left" vertical="center" wrapText="1"/>
    </xf>
    <xf numFmtId="49" fontId="58" fillId="0" borderId="33" xfId="0" applyNumberFormat="1" applyFont="1" applyBorder="1" applyAlignment="1">
      <alignment horizontal="left" vertical="center" wrapText="1"/>
    </xf>
    <xf numFmtId="0" fontId="59" fillId="0" borderId="19" xfId="33" applyFont="1" applyBorder="1" applyAlignment="1">
      <alignment horizontal="left"/>
    </xf>
    <xf numFmtId="0" fontId="59" fillId="0" borderId="0" xfId="33" applyFont="1" applyAlignment="1">
      <alignment horizontal="left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55" fillId="35" borderId="34" xfId="33" applyFont="1" applyFill="1" applyBorder="1" applyAlignment="1">
      <alignment horizontal="center" vertical="center"/>
    </xf>
    <xf numFmtId="0" fontId="63" fillId="34" borderId="23" xfId="33" applyFont="1" applyFill="1" applyBorder="1" applyAlignment="1">
      <alignment horizontal="center" vertical="center"/>
    </xf>
    <xf numFmtId="0" fontId="63" fillId="34" borderId="24" xfId="33" applyFont="1" applyFill="1" applyBorder="1" applyAlignment="1">
      <alignment horizontal="center" vertical="center"/>
    </xf>
    <xf numFmtId="0" fontId="63" fillId="34" borderId="22" xfId="33" applyFont="1" applyFill="1" applyBorder="1" applyAlignment="1">
      <alignment horizontal="center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49" fontId="58" fillId="0" borderId="40" xfId="0" applyNumberFormat="1" applyFont="1" applyBorder="1" applyAlignment="1">
      <alignment horizontal="left" vertical="center" wrapText="1"/>
    </xf>
    <xf numFmtId="49" fontId="58" fillId="0" borderId="49" xfId="0" applyNumberFormat="1" applyFont="1" applyBorder="1" applyAlignment="1">
      <alignment horizontal="left" vertical="center" wrapText="1"/>
    </xf>
    <xf numFmtId="49" fontId="58" fillId="0" borderId="38" xfId="0" applyNumberFormat="1" applyFont="1" applyBorder="1" applyAlignment="1">
      <alignment horizontal="left" vertical="center" wrapText="1"/>
    </xf>
    <xf numFmtId="167" fontId="41" fillId="0" borderId="33" xfId="14" quotePrefix="1" applyNumberFormat="1" applyFont="1" applyBorder="1" applyAlignment="1">
      <alignment horizontal="center" vertical="center" wrapText="1"/>
    </xf>
    <xf numFmtId="167" fontId="41" fillId="0" borderId="33" xfId="14" applyNumberFormat="1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0" fontId="50" fillId="0" borderId="0" xfId="14" applyFont="1" applyBorder="1" applyAlignment="1">
      <alignment horizontal="center" vertical="center" wrapText="1"/>
    </xf>
    <xf numFmtId="0" fontId="41" fillId="0" borderId="0" xfId="14" applyFont="1" applyBorder="1" applyAlignment="1">
      <alignment horizontal="center" vertical="center"/>
    </xf>
    <xf numFmtId="0" fontId="77" fillId="0" borderId="0" xfId="14" applyFont="1" applyBorder="1" applyAlignment="1">
      <alignment horizontal="center" vertical="center"/>
    </xf>
    <xf numFmtId="0" fontId="77" fillId="0" borderId="21" xfId="14" applyFont="1" applyFill="1" applyBorder="1" applyAlignment="1">
      <alignment horizontal="center" vertical="center" wrapText="1"/>
    </xf>
    <xf numFmtId="0" fontId="77" fillId="0" borderId="27" xfId="14" applyFont="1" applyFill="1" applyBorder="1" applyAlignment="1">
      <alignment horizontal="center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6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517712</xdr:colOff>
      <xdr:row>3</xdr:row>
      <xdr:rowOff>156882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41625" cy="121953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760319</xdr:colOff>
      <xdr:row>41</xdr:row>
      <xdr:rowOff>100853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9060" y="13571220"/>
          <a:ext cx="1949039" cy="801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517712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12</xdr:col>
      <xdr:colOff>760319</xdr:colOff>
      <xdr:row>43</xdr:row>
      <xdr:rowOff>100853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03859" y="13644282"/>
          <a:ext cx="1952625" cy="800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view="pageBreakPreview" zoomScale="75" zoomScaleNormal="85" zoomScaleSheetLayoutView="75" workbookViewId="0">
      <selection activeCell="M13" sqref="M13"/>
    </sheetView>
  </sheetViews>
  <sheetFormatPr baseColWidth="10" defaultColWidth="11.44140625" defaultRowHeight="14.4"/>
  <cols>
    <col min="1" max="1" width="16.44140625" style="1" customWidth="1"/>
    <col min="2" max="2" width="10" style="1" customWidth="1"/>
    <col min="3" max="3" width="11.77734375" style="1" customWidth="1"/>
    <col min="4" max="4" width="20.109375" style="1" customWidth="1"/>
    <col min="5" max="5" width="15.44140625" style="43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202"/>
      <c r="B1" s="203"/>
      <c r="C1" s="203"/>
      <c r="D1" s="203"/>
      <c r="E1" s="204"/>
      <c r="F1" s="208" t="s">
        <v>0</v>
      </c>
      <c r="G1" s="209"/>
      <c r="H1" s="209"/>
      <c r="I1" s="209"/>
      <c r="J1" s="209"/>
      <c r="K1" s="210"/>
      <c r="L1" s="217"/>
      <c r="M1" s="218"/>
    </row>
    <row r="2" spans="1:13" ht="38.25" customHeight="1">
      <c r="A2" s="205"/>
      <c r="B2" s="206"/>
      <c r="C2" s="206"/>
      <c r="D2" s="206"/>
      <c r="E2" s="207"/>
      <c r="F2" s="211"/>
      <c r="G2" s="212"/>
      <c r="H2" s="212"/>
      <c r="I2" s="212"/>
      <c r="J2" s="212"/>
      <c r="K2" s="213"/>
      <c r="L2" s="219"/>
      <c r="M2" s="220"/>
    </row>
    <row r="3" spans="1:13">
      <c r="A3" s="205"/>
      <c r="B3" s="206"/>
      <c r="C3" s="206"/>
      <c r="D3" s="206"/>
      <c r="E3" s="207"/>
      <c r="F3" s="211"/>
      <c r="G3" s="212"/>
      <c r="H3" s="212"/>
      <c r="I3" s="212"/>
      <c r="J3" s="212"/>
      <c r="K3" s="213"/>
      <c r="L3" s="221" t="s">
        <v>1</v>
      </c>
      <c r="M3" s="222"/>
    </row>
    <row r="4" spans="1:13">
      <c r="A4" s="205"/>
      <c r="B4" s="206"/>
      <c r="C4" s="206"/>
      <c r="D4" s="206"/>
      <c r="E4" s="207"/>
      <c r="F4" s="211"/>
      <c r="G4" s="212"/>
      <c r="H4" s="212"/>
      <c r="I4" s="212"/>
      <c r="J4" s="212"/>
      <c r="K4" s="213"/>
      <c r="L4" s="223" t="s">
        <v>2</v>
      </c>
      <c r="M4" s="225"/>
    </row>
    <row r="5" spans="1:13">
      <c r="A5" s="227" t="s">
        <v>3</v>
      </c>
      <c r="B5" s="228"/>
      <c r="C5" s="228"/>
      <c r="D5" s="228"/>
      <c r="E5" s="229"/>
      <c r="F5" s="211"/>
      <c r="G5" s="212"/>
      <c r="H5" s="212"/>
      <c r="I5" s="212"/>
      <c r="J5" s="212"/>
      <c r="K5" s="213"/>
      <c r="L5" s="224"/>
      <c r="M5" s="226"/>
    </row>
    <row r="6" spans="1:13" ht="15" thickBot="1">
      <c r="A6" s="230" t="s">
        <v>4</v>
      </c>
      <c r="B6" s="231"/>
      <c r="C6" s="231"/>
      <c r="D6" s="231"/>
      <c r="E6" s="232"/>
      <c r="F6" s="214"/>
      <c r="G6" s="215"/>
      <c r="H6" s="215"/>
      <c r="I6" s="215"/>
      <c r="J6" s="215"/>
      <c r="K6" s="216"/>
      <c r="L6" s="32"/>
      <c r="M6" s="12"/>
    </row>
    <row r="7" spans="1:13">
      <c r="A7" s="193" t="s">
        <v>5</v>
      </c>
      <c r="B7" s="194"/>
      <c r="C7" s="194"/>
      <c r="D7" s="194"/>
      <c r="E7" s="41"/>
      <c r="F7" s="19"/>
      <c r="G7" s="19"/>
      <c r="H7" s="19"/>
      <c r="I7" s="19"/>
      <c r="J7" s="19"/>
      <c r="K7" s="19"/>
      <c r="L7" s="6"/>
      <c r="M7" s="7"/>
    </row>
    <row r="8" spans="1:13">
      <c r="A8" s="195" t="s">
        <v>6</v>
      </c>
      <c r="B8" s="196"/>
      <c r="C8" s="196"/>
      <c r="D8" s="196"/>
      <c r="E8" s="197" t="s">
        <v>152</v>
      </c>
      <c r="F8" s="197"/>
      <c r="G8" s="197"/>
      <c r="H8" s="197"/>
      <c r="I8" s="197"/>
      <c r="J8" s="197"/>
      <c r="K8" s="197"/>
      <c r="L8" s="14"/>
      <c r="M8" s="15"/>
    </row>
    <row r="9" spans="1:13">
      <c r="A9" s="195" t="s">
        <v>7</v>
      </c>
      <c r="B9" s="196"/>
      <c r="C9" s="196"/>
      <c r="D9" s="196"/>
      <c r="E9" s="197" t="s">
        <v>153</v>
      </c>
      <c r="F9" s="197"/>
      <c r="G9" s="197"/>
      <c r="H9" s="197"/>
      <c r="I9" s="197"/>
      <c r="J9" s="197"/>
      <c r="K9" s="197"/>
      <c r="L9" s="14"/>
      <c r="M9" s="15"/>
    </row>
    <row r="10" spans="1:13">
      <c r="A10" s="195" t="s">
        <v>8</v>
      </c>
      <c r="B10" s="196"/>
      <c r="C10" s="196"/>
      <c r="D10" s="196"/>
      <c r="E10" s="197">
        <v>942427829</v>
      </c>
      <c r="F10" s="197"/>
      <c r="G10" s="197"/>
      <c r="H10" s="197"/>
      <c r="I10" s="197"/>
      <c r="J10" s="197"/>
      <c r="K10" s="197"/>
      <c r="L10" s="14"/>
      <c r="M10" s="15"/>
    </row>
    <row r="11" spans="1:13">
      <c r="A11" s="195" t="s">
        <v>9</v>
      </c>
      <c r="B11" s="196"/>
      <c r="C11" s="196"/>
      <c r="D11" s="196"/>
      <c r="E11" s="197" t="s">
        <v>154</v>
      </c>
      <c r="F11" s="197"/>
      <c r="G11" s="197"/>
      <c r="H11" s="197"/>
      <c r="I11" s="197"/>
      <c r="J11" s="197"/>
      <c r="K11" s="197"/>
      <c r="L11" s="14"/>
      <c r="M11" s="15"/>
    </row>
    <row r="12" spans="1:13" ht="31.5" customHeight="1" thickBot="1">
      <c r="A12" s="13"/>
      <c r="B12" s="3"/>
      <c r="C12" s="3"/>
      <c r="D12" s="3"/>
      <c r="E12" s="2"/>
      <c r="F12" s="3"/>
      <c r="G12" s="3"/>
      <c r="H12" s="3"/>
      <c r="I12" s="3"/>
      <c r="J12" s="3"/>
      <c r="K12" s="34"/>
      <c r="L12" s="34" t="s">
        <v>10</v>
      </c>
      <c r="M12" s="35">
        <v>45503</v>
      </c>
    </row>
    <row r="13" spans="1:13" ht="42.6" thickBot="1">
      <c r="A13" s="17" t="s">
        <v>11</v>
      </c>
      <c r="B13" s="18" t="s">
        <v>12</v>
      </c>
      <c r="C13" s="18" t="s">
        <v>33</v>
      </c>
      <c r="D13" s="18" t="s">
        <v>13</v>
      </c>
      <c r="E13" s="18"/>
      <c r="F13" s="198" t="s">
        <v>14</v>
      </c>
      <c r="G13" s="198"/>
      <c r="H13" s="198"/>
      <c r="I13" s="198"/>
      <c r="J13" s="198"/>
      <c r="K13" s="198"/>
      <c r="L13" s="20" t="s">
        <v>15</v>
      </c>
      <c r="M13" s="21" t="s">
        <v>16</v>
      </c>
    </row>
    <row r="14" spans="1:13" ht="31.5" customHeight="1">
      <c r="A14" s="199" t="s">
        <v>30</v>
      </c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1"/>
    </row>
    <row r="15" spans="1:13" ht="30" customHeight="1">
      <c r="A15" s="45"/>
      <c r="B15" s="46"/>
      <c r="C15" s="46"/>
      <c r="D15" s="47"/>
      <c r="E15" s="48"/>
      <c r="F15" s="188" t="s">
        <v>31</v>
      </c>
      <c r="G15" s="188"/>
      <c r="H15" s="188"/>
      <c r="I15" s="188"/>
      <c r="J15" s="188"/>
      <c r="K15" s="188"/>
      <c r="L15" s="49"/>
      <c r="M15" s="50"/>
    </row>
    <row r="16" spans="1:13" ht="30" customHeight="1">
      <c r="A16" s="22"/>
      <c r="B16" s="22" t="s">
        <v>32</v>
      </c>
      <c r="C16" s="51">
        <v>12</v>
      </c>
      <c r="D16" s="24">
        <v>2</v>
      </c>
      <c r="E16" s="33"/>
      <c r="F16" s="192" t="s">
        <v>60</v>
      </c>
      <c r="G16" s="192"/>
      <c r="H16" s="192"/>
      <c r="I16" s="192"/>
      <c r="J16" s="192"/>
      <c r="K16" s="192"/>
      <c r="L16" s="25">
        <f>+SUPERVISOR!C38</f>
        <v>4268.3571562499992</v>
      </c>
      <c r="M16" s="26">
        <f>+L16*D16*C16</f>
        <v>102440.57174999997</v>
      </c>
    </row>
    <row r="17" spans="1:13" ht="30" customHeight="1">
      <c r="A17" s="44"/>
      <c r="B17" s="23" t="s">
        <v>32</v>
      </c>
      <c r="C17" s="23">
        <v>12</v>
      </c>
      <c r="D17" s="24">
        <v>6</v>
      </c>
      <c r="E17" s="36"/>
      <c r="F17" s="189" t="s">
        <v>34</v>
      </c>
      <c r="G17" s="190"/>
      <c r="H17" s="190"/>
      <c r="I17" s="190"/>
      <c r="J17" s="190"/>
      <c r="K17" s="191"/>
      <c r="L17" s="25">
        <f>+'AGENTE CON ARMA'!C38</f>
        <v>3983.8000125000008</v>
      </c>
      <c r="M17" s="26">
        <f>+L17*D17*C17</f>
        <v>286833.60090000008</v>
      </c>
    </row>
    <row r="18" spans="1:13" ht="30" customHeight="1">
      <c r="A18" s="44"/>
      <c r="B18" s="23" t="s">
        <v>32</v>
      </c>
      <c r="C18" s="23">
        <v>12</v>
      </c>
      <c r="D18" s="24">
        <v>2</v>
      </c>
      <c r="E18" s="36"/>
      <c r="F18" s="189" t="s">
        <v>59</v>
      </c>
      <c r="G18" s="190"/>
      <c r="H18" s="190"/>
      <c r="I18" s="190"/>
      <c r="J18" s="190"/>
      <c r="K18" s="191"/>
      <c r="L18" s="25">
        <f>+'AGENTE CONDUCTOR'!C38</f>
        <v>3699.2428687499996</v>
      </c>
      <c r="M18" s="26">
        <f>+L18*D18*C18</f>
        <v>88781.828849999991</v>
      </c>
    </row>
    <row r="19" spans="1:13" ht="30" customHeight="1">
      <c r="A19" s="44"/>
      <c r="B19" s="23" t="s">
        <v>32</v>
      </c>
      <c r="C19" s="23">
        <v>12</v>
      </c>
      <c r="D19" s="24">
        <v>9</v>
      </c>
      <c r="E19" s="36"/>
      <c r="F19" s="189" t="s">
        <v>35</v>
      </c>
      <c r="G19" s="190"/>
      <c r="H19" s="190"/>
      <c r="I19" s="190"/>
      <c r="J19" s="190"/>
      <c r="K19" s="191"/>
      <c r="L19" s="25">
        <f>+'AGENTE SIN ARMA'!C38</f>
        <v>3194.4553875000001</v>
      </c>
      <c r="M19" s="26">
        <f>+L19*D19*C19</f>
        <v>345001.18184999999</v>
      </c>
    </row>
    <row r="20" spans="1:13" ht="30" customHeight="1">
      <c r="A20" s="45"/>
      <c r="B20" s="46"/>
      <c r="C20" s="46"/>
      <c r="D20" s="47"/>
      <c r="E20" s="48"/>
      <c r="F20" s="188" t="s">
        <v>36</v>
      </c>
      <c r="G20" s="188"/>
      <c r="H20" s="188"/>
      <c r="I20" s="188"/>
      <c r="J20" s="188"/>
      <c r="K20" s="188"/>
      <c r="L20" s="49"/>
      <c r="M20" s="50"/>
    </row>
    <row r="21" spans="1:13" ht="30" customHeight="1">
      <c r="A21" s="22"/>
      <c r="B21" s="23" t="s">
        <v>37</v>
      </c>
      <c r="C21" s="23">
        <v>1</v>
      </c>
      <c r="D21" s="24">
        <v>1</v>
      </c>
      <c r="E21" s="36"/>
      <c r="F21" s="189" t="s">
        <v>38</v>
      </c>
      <c r="G21" s="190"/>
      <c r="H21" s="190"/>
      <c r="I21" s="190"/>
      <c r="J21" s="190"/>
      <c r="K21" s="191"/>
      <c r="L21" s="136"/>
      <c r="M21" s="26">
        <f>'MATERIALES '!C13+36270.4</f>
        <v>42164.4</v>
      </c>
    </row>
    <row r="22" spans="1:13" ht="30" customHeight="1">
      <c r="A22" s="44"/>
      <c r="B22" s="23" t="s">
        <v>37</v>
      </c>
      <c r="C22" s="23">
        <v>1</v>
      </c>
      <c r="D22" s="24">
        <v>1</v>
      </c>
      <c r="E22" s="36"/>
      <c r="F22" s="189" t="s">
        <v>39</v>
      </c>
      <c r="G22" s="190"/>
      <c r="H22" s="190"/>
      <c r="I22" s="190"/>
      <c r="J22" s="190"/>
      <c r="K22" s="191"/>
      <c r="L22" s="25"/>
      <c r="M22" s="26">
        <f>'EQUIPOS INFORMATICOS'!F8+28734.01</f>
        <v>30204.01</v>
      </c>
    </row>
    <row r="23" spans="1:13" s="140" customFormat="1" ht="30" customHeight="1">
      <c r="A23" s="44"/>
      <c r="B23" s="23" t="s">
        <v>32</v>
      </c>
      <c r="C23" s="23">
        <v>12</v>
      </c>
      <c r="D23" s="52">
        <v>1</v>
      </c>
      <c r="E23" s="36"/>
      <c r="F23" s="189" t="s">
        <v>40</v>
      </c>
      <c r="G23" s="190"/>
      <c r="H23" s="190"/>
      <c r="I23" s="190"/>
      <c r="J23" s="190"/>
      <c r="K23" s="191"/>
      <c r="L23" s="25">
        <f>CAMIONETA!F8</f>
        <v>9300</v>
      </c>
      <c r="M23" s="26">
        <f>+L23*D23*C23</f>
        <v>111600</v>
      </c>
    </row>
    <row r="24" spans="1:13" ht="30" customHeight="1">
      <c r="A24" s="22"/>
      <c r="B24" s="23" t="s">
        <v>37</v>
      </c>
      <c r="C24" s="23">
        <v>1</v>
      </c>
      <c r="D24" s="24">
        <v>1</v>
      </c>
      <c r="E24" s="36"/>
      <c r="F24" s="189" t="s">
        <v>41</v>
      </c>
      <c r="G24" s="190"/>
      <c r="H24" s="190"/>
      <c r="I24" s="190"/>
      <c r="J24" s="190"/>
      <c r="K24" s="191"/>
      <c r="L24" s="25"/>
      <c r="M24" s="26">
        <f>'EPPS '!F13+28734.01</f>
        <v>34514.009999999995</v>
      </c>
    </row>
    <row r="25" spans="1:13" s="140" customFormat="1" ht="30" customHeight="1">
      <c r="A25" s="22"/>
      <c r="B25" s="23" t="s">
        <v>37</v>
      </c>
      <c r="C25" s="23">
        <v>1</v>
      </c>
      <c r="D25" s="24">
        <v>1</v>
      </c>
      <c r="E25" s="36"/>
      <c r="F25" s="189" t="s">
        <v>42</v>
      </c>
      <c r="G25" s="190"/>
      <c r="H25" s="190"/>
      <c r="I25" s="190"/>
      <c r="J25" s="190"/>
      <c r="K25" s="191"/>
      <c r="L25" s="25"/>
      <c r="M25" s="26">
        <f>UNIFORMES!C15+28734.01</f>
        <v>41916.57</v>
      </c>
    </row>
    <row r="26" spans="1:13" ht="30" customHeight="1">
      <c r="A26" s="45"/>
      <c r="B26" s="46"/>
      <c r="C26" s="46"/>
      <c r="D26" s="47"/>
      <c r="E26" s="48"/>
      <c r="F26" s="188" t="s">
        <v>43</v>
      </c>
      <c r="G26" s="188"/>
      <c r="H26" s="188"/>
      <c r="I26" s="188"/>
      <c r="J26" s="188"/>
      <c r="K26" s="188"/>
      <c r="L26" s="49"/>
      <c r="M26" s="50"/>
    </row>
    <row r="27" spans="1:13" ht="30" customHeight="1">
      <c r="A27" s="22"/>
      <c r="B27" s="23" t="s">
        <v>37</v>
      </c>
      <c r="C27" s="23">
        <v>1</v>
      </c>
      <c r="D27" s="24">
        <v>1</v>
      </c>
      <c r="E27" s="36"/>
      <c r="F27" s="189" t="s">
        <v>44</v>
      </c>
      <c r="G27" s="190"/>
      <c r="H27" s="190"/>
      <c r="I27" s="190"/>
      <c r="J27" s="190"/>
      <c r="K27" s="191"/>
      <c r="L27" s="25">
        <f>+ALIMENTACION!D8</f>
        <v>102600</v>
      </c>
      <c r="M27" s="26">
        <f>+L27*C27</f>
        <v>102600</v>
      </c>
    </row>
    <row r="28" spans="1:13" ht="30" customHeight="1">
      <c r="A28" s="45"/>
      <c r="B28" s="46"/>
      <c r="C28" s="46"/>
      <c r="D28" s="47"/>
      <c r="E28" s="48"/>
      <c r="F28" s="188" t="s">
        <v>45</v>
      </c>
      <c r="G28" s="188"/>
      <c r="H28" s="188"/>
      <c r="I28" s="188"/>
      <c r="J28" s="188"/>
      <c r="K28" s="188"/>
      <c r="L28" s="49"/>
      <c r="M28" s="50"/>
    </row>
    <row r="29" spans="1:13" ht="30" customHeight="1">
      <c r="A29" s="22"/>
      <c r="B29" s="23" t="s">
        <v>32</v>
      </c>
      <c r="C29" s="23">
        <v>12</v>
      </c>
      <c r="D29" s="24">
        <v>19</v>
      </c>
      <c r="E29" s="36"/>
      <c r="F29" s="181" t="s">
        <v>46</v>
      </c>
      <c r="G29" s="181"/>
      <c r="H29" s="181"/>
      <c r="I29" s="181"/>
      <c r="J29" s="181"/>
      <c r="K29" s="181"/>
      <c r="L29" s="25">
        <f>+POLIZAS!I3</f>
        <v>8.73</v>
      </c>
      <c r="M29" s="26">
        <f>+L29*D29*C29</f>
        <v>1990.44</v>
      </c>
    </row>
    <row r="30" spans="1:13" ht="30" customHeight="1">
      <c r="A30" s="22"/>
      <c r="B30" s="23" t="s">
        <v>32</v>
      </c>
      <c r="C30" s="23">
        <v>12</v>
      </c>
      <c r="D30" s="24">
        <v>19</v>
      </c>
      <c r="E30" s="36"/>
      <c r="F30" s="181" t="s">
        <v>47</v>
      </c>
      <c r="G30" s="181"/>
      <c r="H30" s="181"/>
      <c r="I30" s="181"/>
      <c r="J30" s="181"/>
      <c r="K30" s="181"/>
      <c r="L30" s="25">
        <f>+POLIZAS!I4</f>
        <v>16.57</v>
      </c>
      <c r="M30" s="26">
        <f>+L30*D30*C30</f>
        <v>3777.96</v>
      </c>
    </row>
    <row r="31" spans="1:13" ht="30" customHeight="1">
      <c r="A31" s="22"/>
      <c r="B31" s="23" t="s">
        <v>32</v>
      </c>
      <c r="C31" s="23">
        <v>12</v>
      </c>
      <c r="D31" s="24">
        <v>19</v>
      </c>
      <c r="E31" s="36"/>
      <c r="F31" s="182" t="s">
        <v>48</v>
      </c>
      <c r="G31" s="183"/>
      <c r="H31" s="183"/>
      <c r="I31" s="183"/>
      <c r="J31" s="183"/>
      <c r="K31" s="184"/>
      <c r="L31" s="25">
        <f>+POLIZAS!I5</f>
        <v>6.15</v>
      </c>
      <c r="M31" s="26">
        <f>+L31*D31*C31</f>
        <v>1402.2</v>
      </c>
    </row>
    <row r="32" spans="1:13" ht="30" customHeight="1">
      <c r="A32" s="22"/>
      <c r="B32" s="23" t="s">
        <v>32</v>
      </c>
      <c r="C32" s="23">
        <v>12</v>
      </c>
      <c r="D32" s="24">
        <v>19</v>
      </c>
      <c r="E32" s="36"/>
      <c r="F32" s="182" t="s">
        <v>156</v>
      </c>
      <c r="G32" s="183"/>
      <c r="H32" s="183"/>
      <c r="I32" s="183"/>
      <c r="J32" s="183"/>
      <c r="K32" s="184"/>
      <c r="L32" s="25">
        <f>+POLIZAS!I6</f>
        <v>13.305431578947369</v>
      </c>
      <c r="M32" s="26">
        <f>+L32*D32*C32</f>
        <v>3033.6383999999998</v>
      </c>
    </row>
    <row r="33" spans="1:13" ht="30" customHeight="1">
      <c r="A33" s="22"/>
      <c r="B33" s="23" t="s">
        <v>32</v>
      </c>
      <c r="C33" s="23">
        <v>12</v>
      </c>
      <c r="D33" s="24">
        <v>19</v>
      </c>
      <c r="E33" s="36"/>
      <c r="F33" s="181" t="s">
        <v>49</v>
      </c>
      <c r="G33" s="181"/>
      <c r="H33" s="181"/>
      <c r="I33" s="181"/>
      <c r="J33" s="181"/>
      <c r="K33" s="181"/>
      <c r="L33" s="25">
        <f>+POLIZAS!I7</f>
        <v>16.392757894736842</v>
      </c>
      <c r="M33" s="26">
        <f>+L33*D33*12</f>
        <v>3737.5488</v>
      </c>
    </row>
    <row r="34" spans="1:13" ht="23.4" customHeight="1">
      <c r="A34" s="185" t="s">
        <v>23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7"/>
      <c r="M34" s="37">
        <f>SUM(M15:M33)</f>
        <v>1199997.96055</v>
      </c>
    </row>
    <row r="35" spans="1:13" ht="30" customHeight="1">
      <c r="A35" s="174" t="s">
        <v>27</v>
      </c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6"/>
      <c r="M35" s="39">
        <f>SUM(M34:M34)</f>
        <v>1199997.96055</v>
      </c>
    </row>
    <row r="36" spans="1:13" ht="30" customHeight="1" thickBot="1">
      <c r="A36" s="177" t="s">
        <v>17</v>
      </c>
      <c r="B36" s="178"/>
      <c r="C36" s="178"/>
      <c r="D36" s="178"/>
      <c r="E36" s="178"/>
      <c r="F36" s="178"/>
      <c r="G36" s="178"/>
      <c r="H36" s="178"/>
      <c r="I36" s="178"/>
      <c r="J36" s="178"/>
      <c r="K36" s="179"/>
      <c r="L36" s="40">
        <v>0.18</v>
      </c>
      <c r="M36" s="31">
        <f>IF(M35="","",+M35*L36)</f>
        <v>215999.63289899999</v>
      </c>
    </row>
    <row r="37" spans="1:13" ht="30" customHeight="1" thickTop="1" thickBot="1">
      <c r="A37" s="174" t="s">
        <v>28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6"/>
      <c r="M37" s="38">
        <f>IF(M36="","",+M36+M35)</f>
        <v>1415997.593449</v>
      </c>
    </row>
    <row r="38" spans="1:13">
      <c r="A38" s="8"/>
      <c r="B38" s="9"/>
      <c r="C38" s="9"/>
      <c r="D38" s="9"/>
      <c r="E38" s="11"/>
      <c r="F38" s="16"/>
      <c r="G38" s="16"/>
      <c r="H38" s="16"/>
      <c r="I38" s="16"/>
      <c r="J38" s="10"/>
      <c r="K38" s="10"/>
      <c r="L38" s="11"/>
      <c r="M38" s="62"/>
    </row>
    <row r="39" spans="1:13" ht="18">
      <c r="A39" s="180"/>
      <c r="B39" s="180"/>
      <c r="C39" s="53"/>
      <c r="D39" s="53"/>
      <c r="E39" s="53"/>
      <c r="F39" s="53"/>
      <c r="G39" s="53"/>
      <c r="H39" s="63"/>
      <c r="I39" s="3"/>
      <c r="J39" s="3"/>
      <c r="K39" s="3"/>
      <c r="L39" s="3"/>
      <c r="M39" s="54"/>
    </row>
    <row r="40" spans="1:13">
      <c r="A40" s="4"/>
      <c r="B40" s="5"/>
      <c r="C40" s="5"/>
      <c r="D40" s="5"/>
      <c r="E40" s="42"/>
      <c r="F40" s="5"/>
      <c r="G40" s="5"/>
      <c r="H40" s="5"/>
      <c r="I40" s="5"/>
      <c r="J40" s="5"/>
      <c r="K40" s="5"/>
      <c r="L40" s="5"/>
      <c r="M40" s="5"/>
    </row>
    <row r="41" spans="1:13" ht="22.8">
      <c r="A41" s="166" t="s">
        <v>19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5"/>
      <c r="M41" s="5"/>
    </row>
    <row r="42" spans="1:13" ht="22.8">
      <c r="A42" s="55"/>
      <c r="B42" s="56"/>
      <c r="C42" s="56"/>
      <c r="D42" s="56"/>
      <c r="E42" s="57"/>
      <c r="F42" s="58"/>
      <c r="G42" s="58"/>
      <c r="H42" s="59"/>
      <c r="I42" s="59"/>
      <c r="J42" s="59"/>
      <c r="K42" s="59"/>
      <c r="L42" s="5"/>
      <c r="M42" s="5"/>
    </row>
    <row r="43" spans="1:13" ht="24" thickBot="1">
      <c r="A43" s="168" t="s">
        <v>14</v>
      </c>
      <c r="B43" s="169"/>
      <c r="C43" s="169"/>
      <c r="D43" s="170"/>
      <c r="E43" s="60"/>
      <c r="F43" s="168" t="s">
        <v>50</v>
      </c>
      <c r="G43" s="169"/>
      <c r="H43" s="170"/>
      <c r="I43" s="168" t="s">
        <v>29</v>
      </c>
      <c r="J43" s="169"/>
      <c r="K43" s="170"/>
      <c r="L43" s="5"/>
      <c r="M43" s="5"/>
    </row>
    <row r="44" spans="1:13" ht="23.4">
      <c r="A44" s="150" t="s">
        <v>20</v>
      </c>
      <c r="B44" s="150"/>
      <c r="C44" s="150"/>
      <c r="D44" s="150"/>
      <c r="E44" s="139"/>
      <c r="F44" s="164" t="s">
        <v>51</v>
      </c>
      <c r="G44" s="164"/>
      <c r="H44" s="164"/>
      <c r="I44" s="171" t="str">
        <f>+F44</f>
        <v>VALORIZACION MENSUAL A 30 DÍAS</v>
      </c>
      <c r="J44" s="172"/>
      <c r="K44" s="173"/>
    </row>
    <row r="45" spans="1:13" ht="23.4">
      <c r="A45" s="150" t="s">
        <v>21</v>
      </c>
      <c r="B45" s="150"/>
      <c r="C45" s="150"/>
      <c r="D45" s="150"/>
      <c r="E45" s="139"/>
      <c r="F45" s="164" t="s">
        <v>52</v>
      </c>
      <c r="G45" s="164"/>
      <c r="H45" s="164"/>
      <c r="I45" s="152" t="s">
        <v>52</v>
      </c>
      <c r="J45" s="153"/>
      <c r="K45" s="154"/>
    </row>
    <row r="46" spans="1:13" ht="23.4">
      <c r="A46" s="150" t="s">
        <v>22</v>
      </c>
      <c r="B46" s="150"/>
      <c r="C46" s="150"/>
      <c r="D46" s="150"/>
      <c r="E46" s="139"/>
      <c r="F46" s="165">
        <v>0</v>
      </c>
      <c r="G46" s="164"/>
      <c r="H46" s="164"/>
      <c r="I46" s="152">
        <v>0</v>
      </c>
      <c r="J46" s="153"/>
      <c r="K46" s="154"/>
    </row>
    <row r="47" spans="1:13" ht="46.05" customHeight="1">
      <c r="A47" s="159" t="s">
        <v>160</v>
      </c>
      <c r="B47" s="159"/>
      <c r="C47" s="159"/>
      <c r="D47" s="159"/>
      <c r="E47" s="141"/>
      <c r="F47" s="142"/>
      <c r="G47" s="147" t="s">
        <v>161</v>
      </c>
      <c r="H47" s="143"/>
      <c r="I47" s="160" t="s">
        <v>167</v>
      </c>
      <c r="J47" s="161"/>
      <c r="K47" s="162"/>
      <c r="L47" s="145"/>
      <c r="M47" s="146"/>
    </row>
    <row r="48" spans="1:13" ht="21" customHeight="1">
      <c r="A48" s="159" t="s">
        <v>162</v>
      </c>
      <c r="B48" s="159"/>
      <c r="C48" s="159"/>
      <c r="D48" s="159"/>
      <c r="E48" s="141"/>
      <c r="F48" s="142"/>
      <c r="G48" s="147" t="s">
        <v>161</v>
      </c>
      <c r="H48" s="143"/>
      <c r="I48" s="148"/>
      <c r="J48" s="147" t="s">
        <v>161</v>
      </c>
      <c r="K48" s="144"/>
      <c r="L48" s="145"/>
      <c r="M48" s="146"/>
    </row>
    <row r="49" spans="1:13" ht="23.4">
      <c r="A49" s="159" t="s">
        <v>53</v>
      </c>
      <c r="B49" s="159"/>
      <c r="C49" s="159"/>
      <c r="D49" s="159"/>
      <c r="E49" s="139"/>
      <c r="F49" s="163" t="s">
        <v>54</v>
      </c>
      <c r="G49" s="163"/>
      <c r="H49" s="163"/>
      <c r="I49" s="152" t="s">
        <v>170</v>
      </c>
      <c r="J49" s="153"/>
      <c r="K49" s="154"/>
      <c r="M49" s="1" t="s">
        <v>157</v>
      </c>
    </row>
    <row r="50" spans="1:13" ht="23.4">
      <c r="A50" s="150" t="s">
        <v>55</v>
      </c>
      <c r="B50" s="150"/>
      <c r="C50" s="150"/>
      <c r="D50" s="150"/>
      <c r="E50" s="150"/>
      <c r="F50" s="151" t="s">
        <v>56</v>
      </c>
      <c r="G50" s="151"/>
      <c r="H50" s="151"/>
      <c r="I50" s="152" t="str">
        <f>+F50</f>
        <v>PRECIOS UNITARIOS</v>
      </c>
      <c r="J50" s="153"/>
      <c r="K50" s="154"/>
    </row>
    <row r="51" spans="1:13" ht="23.4">
      <c r="A51" s="155" t="s">
        <v>57</v>
      </c>
      <c r="B51" s="155"/>
      <c r="C51" s="155"/>
      <c r="D51" s="155"/>
      <c r="E51" s="155"/>
      <c r="F51" s="151" t="s">
        <v>58</v>
      </c>
      <c r="G51" s="151"/>
      <c r="H51" s="151"/>
      <c r="I51" s="156" t="str">
        <f>+F51</f>
        <v>CONTRATO PRESTACIÓN DE SERVICIOS</v>
      </c>
      <c r="J51" s="157"/>
      <c r="K51" s="158"/>
    </row>
  </sheetData>
  <mergeCells count="68">
    <mergeCell ref="A1:E4"/>
    <mergeCell ref="F1:K6"/>
    <mergeCell ref="L1:M2"/>
    <mergeCell ref="L3:M3"/>
    <mergeCell ref="L4:L5"/>
    <mergeCell ref="M4:M5"/>
    <mergeCell ref="A5:E5"/>
    <mergeCell ref="A6:E6"/>
    <mergeCell ref="F16:K16"/>
    <mergeCell ref="A7:D7"/>
    <mergeCell ref="A8:D8"/>
    <mergeCell ref="E8:K8"/>
    <mergeCell ref="A9:D9"/>
    <mergeCell ref="E9:K9"/>
    <mergeCell ref="A10:D10"/>
    <mergeCell ref="E10:K10"/>
    <mergeCell ref="A11:D11"/>
    <mergeCell ref="E11:K11"/>
    <mergeCell ref="F13:K13"/>
    <mergeCell ref="A14:M14"/>
    <mergeCell ref="F15:K15"/>
    <mergeCell ref="F28:K28"/>
    <mergeCell ref="F17:K17"/>
    <mergeCell ref="F18:K18"/>
    <mergeCell ref="F19:K19"/>
    <mergeCell ref="F20:K20"/>
    <mergeCell ref="F21:K21"/>
    <mergeCell ref="F22:K22"/>
    <mergeCell ref="F23:K23"/>
    <mergeCell ref="F24:K24"/>
    <mergeCell ref="F25:K25"/>
    <mergeCell ref="F26:K26"/>
    <mergeCell ref="F27:K27"/>
    <mergeCell ref="A35:L35"/>
    <mergeCell ref="A36:K36"/>
    <mergeCell ref="A37:L37"/>
    <mergeCell ref="A39:B39"/>
    <mergeCell ref="F29:K29"/>
    <mergeCell ref="F30:K30"/>
    <mergeCell ref="F31:K31"/>
    <mergeCell ref="F32:K32"/>
    <mergeCell ref="F33:K33"/>
    <mergeCell ref="A34:L34"/>
    <mergeCell ref="A41:K41"/>
    <mergeCell ref="A43:D43"/>
    <mergeCell ref="F43:H43"/>
    <mergeCell ref="I43:K43"/>
    <mergeCell ref="A44:D44"/>
    <mergeCell ref="F44:H44"/>
    <mergeCell ref="I44:K44"/>
    <mergeCell ref="A45:D45"/>
    <mergeCell ref="F45:H45"/>
    <mergeCell ref="I45:K45"/>
    <mergeCell ref="A46:D46"/>
    <mergeCell ref="F46:H46"/>
    <mergeCell ref="I46:K46"/>
    <mergeCell ref="A47:D47"/>
    <mergeCell ref="I47:K47"/>
    <mergeCell ref="A48:D48"/>
    <mergeCell ref="A49:D49"/>
    <mergeCell ref="F49:H49"/>
    <mergeCell ref="I49:K49"/>
    <mergeCell ref="A50:E50"/>
    <mergeCell ref="F50:H50"/>
    <mergeCell ref="I50:K50"/>
    <mergeCell ref="A51:E51"/>
    <mergeCell ref="F51:H51"/>
    <mergeCell ref="I51:K51"/>
  </mergeCells>
  <printOptions horizontalCentered="1"/>
  <pageMargins left="0.74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showGridLines="0" tabSelected="1" view="pageBreakPreview" topLeftCell="A27" zoomScale="75" zoomScaleNormal="85" zoomScaleSheetLayoutView="75" workbookViewId="0">
      <selection activeCell="M45" sqref="M45"/>
    </sheetView>
  </sheetViews>
  <sheetFormatPr baseColWidth="10" defaultColWidth="11.44140625" defaultRowHeight="14.4"/>
  <cols>
    <col min="1" max="1" width="16.44140625" style="1" customWidth="1"/>
    <col min="2" max="2" width="10" style="1" customWidth="1"/>
    <col min="3" max="3" width="11.77734375" style="1" customWidth="1"/>
    <col min="4" max="4" width="20.109375" style="1" customWidth="1"/>
    <col min="5" max="5" width="15.44140625" style="43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202"/>
      <c r="B1" s="203"/>
      <c r="C1" s="203"/>
      <c r="D1" s="203"/>
      <c r="E1" s="204"/>
      <c r="F1" s="208" t="s">
        <v>0</v>
      </c>
      <c r="G1" s="209"/>
      <c r="H1" s="209"/>
      <c r="I1" s="209"/>
      <c r="J1" s="209"/>
      <c r="K1" s="210"/>
      <c r="L1" s="217"/>
      <c r="M1" s="218"/>
    </row>
    <row r="2" spans="1:13" ht="38.25" customHeight="1">
      <c r="A2" s="205"/>
      <c r="B2" s="206"/>
      <c r="C2" s="206"/>
      <c r="D2" s="206"/>
      <c r="E2" s="207"/>
      <c r="F2" s="211"/>
      <c r="G2" s="212"/>
      <c r="H2" s="212"/>
      <c r="I2" s="212"/>
      <c r="J2" s="212"/>
      <c r="K2" s="213"/>
      <c r="L2" s="219"/>
      <c r="M2" s="220"/>
    </row>
    <row r="3" spans="1:13">
      <c r="A3" s="205"/>
      <c r="B3" s="206"/>
      <c r="C3" s="206"/>
      <c r="D3" s="206"/>
      <c r="E3" s="207"/>
      <c r="F3" s="211"/>
      <c r="G3" s="212"/>
      <c r="H3" s="212"/>
      <c r="I3" s="212"/>
      <c r="J3" s="212"/>
      <c r="K3" s="213"/>
      <c r="L3" s="221" t="s">
        <v>1</v>
      </c>
      <c r="M3" s="222"/>
    </row>
    <row r="4" spans="1:13">
      <c r="A4" s="205"/>
      <c r="B4" s="206"/>
      <c r="C4" s="206"/>
      <c r="D4" s="206"/>
      <c r="E4" s="207"/>
      <c r="F4" s="211"/>
      <c r="G4" s="212"/>
      <c r="H4" s="212"/>
      <c r="I4" s="212"/>
      <c r="J4" s="212"/>
      <c r="K4" s="213"/>
      <c r="L4" s="223" t="s">
        <v>2</v>
      </c>
      <c r="M4" s="225"/>
    </row>
    <row r="5" spans="1:13">
      <c r="A5" s="227" t="s">
        <v>3</v>
      </c>
      <c r="B5" s="228"/>
      <c r="C5" s="228"/>
      <c r="D5" s="228"/>
      <c r="E5" s="229"/>
      <c r="F5" s="211"/>
      <c r="G5" s="212"/>
      <c r="H5" s="212"/>
      <c r="I5" s="212"/>
      <c r="J5" s="212"/>
      <c r="K5" s="213"/>
      <c r="L5" s="224"/>
      <c r="M5" s="226"/>
    </row>
    <row r="6" spans="1:13" ht="15" thickBot="1">
      <c r="A6" s="230" t="s">
        <v>4</v>
      </c>
      <c r="B6" s="231"/>
      <c r="C6" s="231"/>
      <c r="D6" s="231"/>
      <c r="E6" s="232"/>
      <c r="F6" s="214"/>
      <c r="G6" s="215"/>
      <c r="H6" s="215"/>
      <c r="I6" s="215"/>
      <c r="J6" s="215"/>
      <c r="K6" s="216"/>
      <c r="L6" s="32"/>
      <c r="M6" s="12"/>
    </row>
    <row r="7" spans="1:13">
      <c r="A7" s="193" t="s">
        <v>5</v>
      </c>
      <c r="B7" s="194"/>
      <c r="C7" s="194"/>
      <c r="D7" s="194"/>
      <c r="E7" s="41"/>
      <c r="F7" s="19"/>
      <c r="G7" s="19"/>
      <c r="H7" s="19"/>
      <c r="I7" s="19"/>
      <c r="J7" s="19"/>
      <c r="K7" s="19"/>
      <c r="L7" s="6"/>
      <c r="M7" s="7"/>
    </row>
    <row r="8" spans="1:13">
      <c r="A8" s="195" t="s">
        <v>6</v>
      </c>
      <c r="B8" s="196"/>
      <c r="C8" s="196"/>
      <c r="D8" s="196"/>
      <c r="E8" s="197" t="s">
        <v>152</v>
      </c>
      <c r="F8" s="197"/>
      <c r="G8" s="197"/>
      <c r="H8" s="197"/>
      <c r="I8" s="197"/>
      <c r="J8" s="197"/>
      <c r="K8" s="197"/>
      <c r="L8" s="14"/>
      <c r="M8" s="15"/>
    </row>
    <row r="9" spans="1:13">
      <c r="A9" s="195" t="s">
        <v>7</v>
      </c>
      <c r="B9" s="196"/>
      <c r="C9" s="196"/>
      <c r="D9" s="196"/>
      <c r="E9" s="197" t="s">
        <v>153</v>
      </c>
      <c r="F9" s="197"/>
      <c r="G9" s="197"/>
      <c r="H9" s="197"/>
      <c r="I9" s="197"/>
      <c r="J9" s="197"/>
      <c r="K9" s="197"/>
      <c r="L9" s="14"/>
      <c r="M9" s="15"/>
    </row>
    <row r="10" spans="1:13">
      <c r="A10" s="195" t="s">
        <v>8</v>
      </c>
      <c r="B10" s="196"/>
      <c r="C10" s="196"/>
      <c r="D10" s="196"/>
      <c r="E10" s="197">
        <v>942427829</v>
      </c>
      <c r="F10" s="197"/>
      <c r="G10" s="197"/>
      <c r="H10" s="197"/>
      <c r="I10" s="197"/>
      <c r="J10" s="197"/>
      <c r="K10" s="197"/>
      <c r="L10" s="14"/>
      <c r="M10" s="15"/>
    </row>
    <row r="11" spans="1:13">
      <c r="A11" s="195" t="s">
        <v>9</v>
      </c>
      <c r="B11" s="196"/>
      <c r="C11" s="196"/>
      <c r="D11" s="196"/>
      <c r="E11" s="197" t="s">
        <v>154</v>
      </c>
      <c r="F11" s="197"/>
      <c r="G11" s="197"/>
      <c r="H11" s="197"/>
      <c r="I11" s="197"/>
      <c r="J11" s="197"/>
      <c r="K11" s="197"/>
      <c r="L11" s="14"/>
      <c r="M11" s="15"/>
    </row>
    <row r="12" spans="1:13" ht="31.5" customHeight="1" thickBot="1">
      <c r="A12" s="13"/>
      <c r="B12" s="3"/>
      <c r="C12" s="3"/>
      <c r="D12" s="3"/>
      <c r="E12" s="2"/>
      <c r="F12" s="3"/>
      <c r="G12" s="3"/>
      <c r="H12" s="3"/>
      <c r="I12" s="3"/>
      <c r="J12" s="3"/>
      <c r="K12" s="34"/>
      <c r="L12" s="34" t="s">
        <v>10</v>
      </c>
      <c r="M12" s="35">
        <v>45503</v>
      </c>
    </row>
    <row r="13" spans="1:13" ht="42.6" thickBot="1">
      <c r="A13" s="17" t="s">
        <v>11</v>
      </c>
      <c r="B13" s="18" t="s">
        <v>12</v>
      </c>
      <c r="C13" s="18" t="s">
        <v>33</v>
      </c>
      <c r="D13" s="18" t="s">
        <v>13</v>
      </c>
      <c r="E13" s="18"/>
      <c r="F13" s="198" t="s">
        <v>14</v>
      </c>
      <c r="G13" s="198"/>
      <c r="H13" s="198"/>
      <c r="I13" s="198"/>
      <c r="J13" s="198"/>
      <c r="K13" s="198"/>
      <c r="L13" s="20" t="s">
        <v>15</v>
      </c>
      <c r="M13" s="21" t="s">
        <v>16</v>
      </c>
    </row>
    <row r="14" spans="1:13" ht="31.5" customHeight="1">
      <c r="A14" s="199" t="s">
        <v>30</v>
      </c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1"/>
    </row>
    <row r="15" spans="1:13" ht="30" customHeight="1">
      <c r="A15" s="45"/>
      <c r="B15" s="46"/>
      <c r="C15" s="46"/>
      <c r="D15" s="47"/>
      <c r="E15" s="48"/>
      <c r="F15" s="188" t="s">
        <v>31</v>
      </c>
      <c r="G15" s="188"/>
      <c r="H15" s="188"/>
      <c r="I15" s="188"/>
      <c r="J15" s="188"/>
      <c r="K15" s="188"/>
      <c r="L15" s="49"/>
      <c r="M15" s="50"/>
    </row>
    <row r="16" spans="1:13" ht="30" customHeight="1">
      <c r="A16" s="22"/>
      <c r="B16" s="22" t="s">
        <v>32</v>
      </c>
      <c r="C16" s="51">
        <v>12</v>
      </c>
      <c r="D16" s="24">
        <v>2</v>
      </c>
      <c r="E16" s="33"/>
      <c r="F16" s="192" t="s">
        <v>60</v>
      </c>
      <c r="G16" s="192"/>
      <c r="H16" s="192"/>
      <c r="I16" s="192"/>
      <c r="J16" s="192"/>
      <c r="K16" s="192"/>
      <c r="L16" s="25">
        <f>+SUPERVISOR!C38</f>
        <v>4268.3571562499992</v>
      </c>
      <c r="M16" s="26">
        <f>+L16*D16*C16</f>
        <v>102440.57174999997</v>
      </c>
    </row>
    <row r="17" spans="1:13" ht="30" customHeight="1">
      <c r="A17" s="44"/>
      <c r="B17" s="23" t="s">
        <v>32</v>
      </c>
      <c r="C17" s="23">
        <v>12</v>
      </c>
      <c r="D17" s="24">
        <v>6</v>
      </c>
      <c r="E17" s="36"/>
      <c r="F17" s="189" t="s">
        <v>34</v>
      </c>
      <c r="G17" s="190"/>
      <c r="H17" s="190"/>
      <c r="I17" s="190"/>
      <c r="J17" s="190"/>
      <c r="K17" s="191"/>
      <c r="L17" s="25">
        <f>+'AGENTE CON ARMA'!C38</f>
        <v>3983.8000125000008</v>
      </c>
      <c r="M17" s="26">
        <f>+L17*D17*C17</f>
        <v>286833.60090000008</v>
      </c>
    </row>
    <row r="18" spans="1:13" ht="30" customHeight="1">
      <c r="A18" s="44"/>
      <c r="B18" s="23" t="s">
        <v>32</v>
      </c>
      <c r="C18" s="23">
        <v>12</v>
      </c>
      <c r="D18" s="24">
        <v>2</v>
      </c>
      <c r="E18" s="36"/>
      <c r="F18" s="189" t="s">
        <v>59</v>
      </c>
      <c r="G18" s="190"/>
      <c r="H18" s="190"/>
      <c r="I18" s="190"/>
      <c r="J18" s="190"/>
      <c r="K18" s="191"/>
      <c r="L18" s="25">
        <f>+'AGENTE CONDUCTOR'!C38</f>
        <v>3699.2428687499996</v>
      </c>
      <c r="M18" s="26">
        <f>+L18*D18*C18</f>
        <v>88781.828849999991</v>
      </c>
    </row>
    <row r="19" spans="1:13" ht="30" customHeight="1">
      <c r="A19" s="44"/>
      <c r="B19" s="23" t="s">
        <v>32</v>
      </c>
      <c r="C19" s="23">
        <v>12</v>
      </c>
      <c r="D19" s="24">
        <v>9</v>
      </c>
      <c r="E19" s="36"/>
      <c r="F19" s="189" t="s">
        <v>35</v>
      </c>
      <c r="G19" s="190"/>
      <c r="H19" s="190"/>
      <c r="I19" s="190"/>
      <c r="J19" s="190"/>
      <c r="K19" s="191"/>
      <c r="L19" s="25">
        <f>+'AGENTE SIN ARMA'!C38</f>
        <v>3194.4553875000001</v>
      </c>
      <c r="M19" s="26">
        <f>+L19*D19*C19</f>
        <v>345001.18184999999</v>
      </c>
    </row>
    <row r="20" spans="1:13" ht="30" customHeight="1">
      <c r="A20" s="45"/>
      <c r="B20" s="46"/>
      <c r="C20" s="46"/>
      <c r="D20" s="47"/>
      <c r="E20" s="48"/>
      <c r="F20" s="188" t="s">
        <v>36</v>
      </c>
      <c r="G20" s="188"/>
      <c r="H20" s="188"/>
      <c r="I20" s="188"/>
      <c r="J20" s="188"/>
      <c r="K20" s="188"/>
      <c r="L20" s="49"/>
      <c r="M20" s="50"/>
    </row>
    <row r="21" spans="1:13" ht="30" customHeight="1">
      <c r="A21" s="22"/>
      <c r="B21" s="23" t="s">
        <v>37</v>
      </c>
      <c r="C21" s="23">
        <v>1</v>
      </c>
      <c r="D21" s="24">
        <v>1</v>
      </c>
      <c r="E21" s="36"/>
      <c r="F21" s="189" t="s">
        <v>38</v>
      </c>
      <c r="G21" s="190"/>
      <c r="H21" s="190"/>
      <c r="I21" s="190"/>
      <c r="J21" s="190"/>
      <c r="K21" s="191"/>
      <c r="L21" s="136"/>
      <c r="M21" s="26">
        <f>'MATERIALES '!C13</f>
        <v>5894</v>
      </c>
    </row>
    <row r="22" spans="1:13" ht="30" customHeight="1">
      <c r="A22" s="44"/>
      <c r="B22" s="23" t="s">
        <v>37</v>
      </c>
      <c r="C22" s="23">
        <v>1</v>
      </c>
      <c r="D22" s="24">
        <v>1</v>
      </c>
      <c r="E22" s="36"/>
      <c r="F22" s="189" t="s">
        <v>39</v>
      </c>
      <c r="G22" s="190"/>
      <c r="H22" s="190"/>
      <c r="I22" s="190"/>
      <c r="J22" s="190"/>
      <c r="K22" s="191"/>
      <c r="L22" s="25"/>
      <c r="M22" s="26">
        <f>'EQUIPOS INFORMATICOS'!F8</f>
        <v>1470</v>
      </c>
    </row>
    <row r="23" spans="1:13" s="140" customFormat="1" ht="30" customHeight="1">
      <c r="A23" s="44"/>
      <c r="B23" s="23" t="s">
        <v>32</v>
      </c>
      <c r="C23" s="23">
        <v>12</v>
      </c>
      <c r="D23" s="52">
        <v>1</v>
      </c>
      <c r="E23" s="36"/>
      <c r="F23" s="189" t="s">
        <v>40</v>
      </c>
      <c r="G23" s="190"/>
      <c r="H23" s="190"/>
      <c r="I23" s="190"/>
      <c r="J23" s="190"/>
      <c r="K23" s="191"/>
      <c r="L23" s="25">
        <f>CAMIONETA!F8</f>
        <v>9300</v>
      </c>
      <c r="M23" s="26">
        <f>+L23*D23*C23</f>
        <v>111600</v>
      </c>
    </row>
    <row r="24" spans="1:13" ht="30" customHeight="1">
      <c r="A24" s="22"/>
      <c r="B24" s="23" t="s">
        <v>37</v>
      </c>
      <c r="C24" s="23">
        <v>1</v>
      </c>
      <c r="D24" s="24">
        <v>1</v>
      </c>
      <c r="E24" s="36"/>
      <c r="F24" s="189" t="s">
        <v>41</v>
      </c>
      <c r="G24" s="190"/>
      <c r="H24" s="190"/>
      <c r="I24" s="190"/>
      <c r="J24" s="190"/>
      <c r="K24" s="191"/>
      <c r="L24" s="25"/>
      <c r="M24" s="26">
        <f>'EPPS '!F13</f>
        <v>5780</v>
      </c>
    </row>
    <row r="25" spans="1:13" s="140" customFormat="1" ht="30" customHeight="1">
      <c r="A25" s="22"/>
      <c r="B25" s="23" t="s">
        <v>37</v>
      </c>
      <c r="C25" s="23">
        <v>1</v>
      </c>
      <c r="D25" s="24">
        <v>1</v>
      </c>
      <c r="E25" s="36"/>
      <c r="F25" s="189" t="s">
        <v>42</v>
      </c>
      <c r="G25" s="190"/>
      <c r="H25" s="190"/>
      <c r="I25" s="190"/>
      <c r="J25" s="190"/>
      <c r="K25" s="191"/>
      <c r="L25" s="25"/>
      <c r="M25" s="26">
        <f>UNIFORMES!C15</f>
        <v>13182.560000000001</v>
      </c>
    </row>
    <row r="26" spans="1:13" ht="30" customHeight="1">
      <c r="A26" s="45"/>
      <c r="B26" s="46"/>
      <c r="C26" s="46"/>
      <c r="D26" s="47"/>
      <c r="E26" s="48"/>
      <c r="F26" s="188" t="s">
        <v>43</v>
      </c>
      <c r="G26" s="188"/>
      <c r="H26" s="188"/>
      <c r="I26" s="188"/>
      <c r="J26" s="188"/>
      <c r="K26" s="188"/>
      <c r="L26" s="49"/>
      <c r="M26" s="50"/>
    </row>
    <row r="27" spans="1:13" ht="30" customHeight="1">
      <c r="A27" s="22"/>
      <c r="B27" s="23" t="s">
        <v>37</v>
      </c>
      <c r="C27" s="23">
        <v>1</v>
      </c>
      <c r="D27" s="24">
        <v>1</v>
      </c>
      <c r="E27" s="36"/>
      <c r="F27" s="189" t="s">
        <v>44</v>
      </c>
      <c r="G27" s="190"/>
      <c r="H27" s="190"/>
      <c r="I27" s="190"/>
      <c r="J27" s="190"/>
      <c r="K27" s="191"/>
      <c r="L27" s="25">
        <f>+ALIMENTACION!D8</f>
        <v>102600</v>
      </c>
      <c r="M27" s="26">
        <f>+L27*C27</f>
        <v>102600</v>
      </c>
    </row>
    <row r="28" spans="1:13" ht="30" customHeight="1">
      <c r="A28" s="45"/>
      <c r="B28" s="46"/>
      <c r="C28" s="46"/>
      <c r="D28" s="47"/>
      <c r="E28" s="48"/>
      <c r="F28" s="188" t="s">
        <v>45</v>
      </c>
      <c r="G28" s="188"/>
      <c r="H28" s="188"/>
      <c r="I28" s="188"/>
      <c r="J28" s="188"/>
      <c r="K28" s="188"/>
      <c r="L28" s="49"/>
      <c r="M28" s="50"/>
    </row>
    <row r="29" spans="1:13" ht="30" customHeight="1">
      <c r="A29" s="22"/>
      <c r="B29" s="23" t="s">
        <v>32</v>
      </c>
      <c r="C29" s="23">
        <v>12</v>
      </c>
      <c r="D29" s="24">
        <v>19</v>
      </c>
      <c r="E29" s="36"/>
      <c r="F29" s="181" t="s">
        <v>46</v>
      </c>
      <c r="G29" s="181"/>
      <c r="H29" s="181"/>
      <c r="I29" s="181"/>
      <c r="J29" s="181"/>
      <c r="K29" s="181"/>
      <c r="L29" s="25">
        <f>+POLIZAS!I3</f>
        <v>8.73</v>
      </c>
      <c r="M29" s="26">
        <f>+L29*D29*C29</f>
        <v>1990.44</v>
      </c>
    </row>
    <row r="30" spans="1:13" ht="30" customHeight="1">
      <c r="A30" s="22"/>
      <c r="B30" s="23" t="s">
        <v>32</v>
      </c>
      <c r="C30" s="23">
        <v>12</v>
      </c>
      <c r="D30" s="24">
        <v>19</v>
      </c>
      <c r="E30" s="36"/>
      <c r="F30" s="181" t="s">
        <v>47</v>
      </c>
      <c r="G30" s="181"/>
      <c r="H30" s="181"/>
      <c r="I30" s="181"/>
      <c r="J30" s="181"/>
      <c r="K30" s="181"/>
      <c r="L30" s="25">
        <f>+POLIZAS!I4</f>
        <v>16.57</v>
      </c>
      <c r="M30" s="26">
        <f>+L30*D30*C30</f>
        <v>3777.96</v>
      </c>
    </row>
    <row r="31" spans="1:13" ht="30" customHeight="1">
      <c r="A31" s="22"/>
      <c r="B31" s="23" t="s">
        <v>32</v>
      </c>
      <c r="C31" s="23">
        <v>12</v>
      </c>
      <c r="D31" s="24">
        <v>19</v>
      </c>
      <c r="E31" s="36"/>
      <c r="F31" s="182" t="s">
        <v>48</v>
      </c>
      <c r="G31" s="183"/>
      <c r="H31" s="183"/>
      <c r="I31" s="183"/>
      <c r="J31" s="183"/>
      <c r="K31" s="184"/>
      <c r="L31" s="25">
        <f>+POLIZAS!I5</f>
        <v>6.15</v>
      </c>
      <c r="M31" s="26">
        <f>+L31*D31*C31</f>
        <v>1402.2</v>
      </c>
    </row>
    <row r="32" spans="1:13" ht="30" customHeight="1">
      <c r="A32" s="22"/>
      <c r="B32" s="23" t="s">
        <v>32</v>
      </c>
      <c r="C32" s="23">
        <v>12</v>
      </c>
      <c r="D32" s="24">
        <v>19</v>
      </c>
      <c r="E32" s="36"/>
      <c r="F32" s="182" t="s">
        <v>156</v>
      </c>
      <c r="G32" s="183"/>
      <c r="H32" s="183"/>
      <c r="I32" s="183"/>
      <c r="J32" s="183"/>
      <c r="K32" s="184"/>
      <c r="L32" s="25">
        <f>+POLIZAS!I6</f>
        <v>13.305431578947369</v>
      </c>
      <c r="M32" s="26">
        <f>+L32*D32*C32</f>
        <v>3033.6383999999998</v>
      </c>
    </row>
    <row r="33" spans="1:14" ht="30" customHeight="1">
      <c r="A33" s="22"/>
      <c r="B33" s="23" t="s">
        <v>32</v>
      </c>
      <c r="C33" s="23">
        <v>12</v>
      </c>
      <c r="D33" s="24">
        <v>19</v>
      </c>
      <c r="E33" s="36"/>
      <c r="F33" s="181" t="s">
        <v>49</v>
      </c>
      <c r="G33" s="181"/>
      <c r="H33" s="181"/>
      <c r="I33" s="181"/>
      <c r="J33" s="181"/>
      <c r="K33" s="181"/>
      <c r="L33" s="25">
        <f>+POLIZAS!I7</f>
        <v>16.392757894736842</v>
      </c>
      <c r="M33" s="26">
        <f>+L33*D33*12</f>
        <v>3737.5488</v>
      </c>
    </row>
    <row r="34" spans="1:14" ht="23.4" customHeight="1">
      <c r="A34" s="185" t="s">
        <v>23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7"/>
      <c r="M34" s="37">
        <f>SUM(M15:M33)</f>
        <v>1077525.53055</v>
      </c>
    </row>
    <row r="35" spans="1:14" ht="30" customHeight="1">
      <c r="A35" s="22"/>
      <c r="B35" s="23" t="s">
        <v>24</v>
      </c>
      <c r="C35" s="23"/>
      <c r="D35" s="24">
        <v>1</v>
      </c>
      <c r="E35" s="189" t="s">
        <v>25</v>
      </c>
      <c r="F35" s="190"/>
      <c r="G35" s="190"/>
      <c r="H35" s="190"/>
      <c r="I35" s="190"/>
      <c r="J35" s="190"/>
      <c r="K35" s="191"/>
      <c r="L35" s="25">
        <f>+'GASTOS GENERALES'!B10</f>
        <v>36270.400000000001</v>
      </c>
      <c r="M35" s="26">
        <f>IF(L35="","",+L35*D35)</f>
        <v>36270.400000000001</v>
      </c>
      <c r="N35" s="138"/>
    </row>
    <row r="36" spans="1:14" ht="30" customHeight="1" thickBot="1">
      <c r="A36" s="27"/>
      <c r="B36" s="28" t="s">
        <v>24</v>
      </c>
      <c r="C36" s="28"/>
      <c r="D36" s="29">
        <v>1</v>
      </c>
      <c r="E36" s="233" t="s">
        <v>26</v>
      </c>
      <c r="F36" s="234"/>
      <c r="G36" s="234"/>
      <c r="H36" s="234"/>
      <c r="I36" s="234"/>
      <c r="J36" s="234"/>
      <c r="K36" s="235"/>
      <c r="L36" s="30">
        <f>+M34*8%</f>
        <v>86202.042444000006</v>
      </c>
      <c r="M36" s="31">
        <f>IF(L36="","",+L36*D36)</f>
        <v>86202.042444000006</v>
      </c>
    </row>
    <row r="37" spans="1:14" ht="30" customHeight="1" thickTop="1">
      <c r="A37" s="174" t="s">
        <v>27</v>
      </c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6"/>
      <c r="M37" s="39">
        <f>SUM(M34:M36)</f>
        <v>1199997.972994</v>
      </c>
    </row>
    <row r="38" spans="1:14" ht="30" customHeight="1" thickBot="1">
      <c r="A38" s="177" t="s">
        <v>17</v>
      </c>
      <c r="B38" s="178"/>
      <c r="C38" s="178"/>
      <c r="D38" s="178"/>
      <c r="E38" s="178"/>
      <c r="F38" s="178"/>
      <c r="G38" s="178"/>
      <c r="H38" s="178"/>
      <c r="I38" s="178"/>
      <c r="J38" s="178"/>
      <c r="K38" s="179"/>
      <c r="L38" s="40">
        <v>0.18</v>
      </c>
      <c r="M38" s="31">
        <f>IF(M37="","",+M37*L38)</f>
        <v>215999.63513891998</v>
      </c>
    </row>
    <row r="39" spans="1:14" ht="30" customHeight="1" thickTop="1" thickBot="1">
      <c r="A39" s="174" t="s">
        <v>28</v>
      </c>
      <c r="B39" s="175"/>
      <c r="C39" s="175"/>
      <c r="D39" s="175"/>
      <c r="E39" s="175"/>
      <c r="F39" s="175"/>
      <c r="G39" s="175"/>
      <c r="H39" s="175"/>
      <c r="I39" s="175"/>
      <c r="J39" s="175"/>
      <c r="K39" s="175"/>
      <c r="L39" s="176"/>
      <c r="M39" s="38">
        <f>IF(M38="","",+M38+M37)</f>
        <v>1415997.60813292</v>
      </c>
    </row>
    <row r="40" spans="1:14">
      <c r="A40" s="8"/>
      <c r="B40" s="9"/>
      <c r="C40" s="9"/>
      <c r="D40" s="9"/>
      <c r="E40" s="11"/>
      <c r="F40" s="16"/>
      <c r="G40" s="16"/>
      <c r="H40" s="16"/>
      <c r="I40" s="16"/>
      <c r="J40" s="10"/>
      <c r="K40" s="10"/>
      <c r="L40" s="11"/>
      <c r="M40" s="62"/>
    </row>
    <row r="41" spans="1:14" ht="18">
      <c r="A41" s="180"/>
      <c r="B41" s="180"/>
      <c r="C41" s="53"/>
      <c r="D41" s="53"/>
      <c r="E41" s="53"/>
      <c r="F41" s="53"/>
      <c r="G41" s="53"/>
      <c r="H41" s="63"/>
      <c r="I41" s="3"/>
      <c r="J41" s="3"/>
      <c r="K41" s="3"/>
      <c r="L41" s="3"/>
      <c r="M41" s="54"/>
    </row>
    <row r="42" spans="1:14">
      <c r="A42" s="4"/>
      <c r="B42" s="5"/>
      <c r="C42" s="5"/>
      <c r="D42" s="5"/>
      <c r="E42" s="42"/>
      <c r="F42" s="5"/>
      <c r="G42" s="5"/>
      <c r="H42" s="5"/>
      <c r="I42" s="5"/>
      <c r="J42" s="5"/>
      <c r="K42" s="5"/>
      <c r="L42" s="5"/>
      <c r="M42" s="5"/>
    </row>
    <row r="43" spans="1:14" ht="22.8">
      <c r="A43" s="166" t="s">
        <v>19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5"/>
      <c r="M43" s="5"/>
    </row>
    <row r="44" spans="1:14" ht="22.8">
      <c r="A44" s="55"/>
      <c r="B44" s="56"/>
      <c r="C44" s="56"/>
      <c r="D44" s="56"/>
      <c r="E44" s="57"/>
      <c r="F44" s="58"/>
      <c r="G44" s="58"/>
      <c r="H44" s="59"/>
      <c r="I44" s="59"/>
      <c r="J44" s="59"/>
      <c r="K44" s="59"/>
      <c r="L44" s="5"/>
      <c r="M44" s="5"/>
    </row>
    <row r="45" spans="1:14" ht="24" thickBot="1">
      <c r="A45" s="168" t="s">
        <v>14</v>
      </c>
      <c r="B45" s="169"/>
      <c r="C45" s="169"/>
      <c r="D45" s="170"/>
      <c r="E45" s="60"/>
      <c r="F45" s="168" t="s">
        <v>50</v>
      </c>
      <c r="G45" s="169"/>
      <c r="H45" s="170"/>
      <c r="I45" s="168" t="s">
        <v>29</v>
      </c>
      <c r="J45" s="169"/>
      <c r="K45" s="170"/>
      <c r="L45" s="5"/>
      <c r="M45" s="5"/>
    </row>
    <row r="46" spans="1:14" ht="23.4">
      <c r="A46" s="150" t="s">
        <v>20</v>
      </c>
      <c r="B46" s="150"/>
      <c r="C46" s="150"/>
      <c r="D46" s="150"/>
      <c r="E46" s="61"/>
      <c r="F46" s="164" t="s">
        <v>51</v>
      </c>
      <c r="G46" s="164"/>
      <c r="H46" s="164"/>
      <c r="I46" s="171" t="str">
        <f>+F46</f>
        <v>VALORIZACION MENSUAL A 30 DÍAS</v>
      </c>
      <c r="J46" s="172"/>
      <c r="K46" s="173"/>
    </row>
    <row r="47" spans="1:14" ht="23.4">
      <c r="A47" s="150" t="s">
        <v>21</v>
      </c>
      <c r="B47" s="150"/>
      <c r="C47" s="150"/>
      <c r="D47" s="150"/>
      <c r="E47" s="61"/>
      <c r="F47" s="164" t="s">
        <v>52</v>
      </c>
      <c r="G47" s="164"/>
      <c r="H47" s="164"/>
      <c r="I47" s="152" t="s">
        <v>52</v>
      </c>
      <c r="J47" s="153"/>
      <c r="K47" s="154"/>
    </row>
    <row r="48" spans="1:14" ht="23.4">
      <c r="A48" s="150" t="s">
        <v>22</v>
      </c>
      <c r="B48" s="150"/>
      <c r="C48" s="150"/>
      <c r="D48" s="150"/>
      <c r="E48" s="61"/>
      <c r="F48" s="165">
        <v>0</v>
      </c>
      <c r="G48" s="164"/>
      <c r="H48" s="164"/>
      <c r="I48" s="152">
        <v>0</v>
      </c>
      <c r="J48" s="153"/>
      <c r="K48" s="154"/>
    </row>
    <row r="49" spans="1:13" ht="46.05" customHeight="1">
      <c r="A49" s="159" t="s">
        <v>160</v>
      </c>
      <c r="B49" s="159"/>
      <c r="C49" s="159"/>
      <c r="D49" s="159"/>
      <c r="E49" s="141"/>
      <c r="F49" s="142"/>
      <c r="G49" s="147" t="s">
        <v>161</v>
      </c>
      <c r="H49" s="143"/>
      <c r="I49" s="160" t="s">
        <v>167</v>
      </c>
      <c r="J49" s="161"/>
      <c r="K49" s="162"/>
      <c r="L49" s="145"/>
      <c r="M49" s="146"/>
    </row>
    <row r="50" spans="1:13" ht="21" customHeight="1">
      <c r="A50" s="159" t="s">
        <v>162</v>
      </c>
      <c r="B50" s="159"/>
      <c r="C50" s="159"/>
      <c r="D50" s="159"/>
      <c r="E50" s="141"/>
      <c r="F50" s="142"/>
      <c r="G50" s="147" t="s">
        <v>161</v>
      </c>
      <c r="H50" s="143"/>
      <c r="I50" s="148"/>
      <c r="J50" s="147" t="s">
        <v>161</v>
      </c>
      <c r="K50" s="144"/>
      <c r="L50" s="145"/>
      <c r="M50" s="146"/>
    </row>
    <row r="51" spans="1:13" ht="23.4">
      <c r="A51" s="159" t="s">
        <v>53</v>
      </c>
      <c r="B51" s="159"/>
      <c r="C51" s="159"/>
      <c r="D51" s="159"/>
      <c r="E51" s="61"/>
      <c r="F51" s="163" t="s">
        <v>54</v>
      </c>
      <c r="G51" s="163"/>
      <c r="H51" s="163"/>
      <c r="I51" s="152" t="s">
        <v>170</v>
      </c>
      <c r="J51" s="153"/>
      <c r="K51" s="154"/>
    </row>
    <row r="52" spans="1:13" ht="23.4">
      <c r="A52" s="150" t="s">
        <v>55</v>
      </c>
      <c r="B52" s="150"/>
      <c r="C52" s="150"/>
      <c r="D52" s="150"/>
      <c r="E52" s="150"/>
      <c r="F52" s="151" t="s">
        <v>56</v>
      </c>
      <c r="G52" s="151"/>
      <c r="H52" s="151"/>
      <c r="I52" s="152" t="str">
        <f>+F52</f>
        <v>PRECIOS UNITARIOS</v>
      </c>
      <c r="J52" s="153"/>
      <c r="K52" s="154"/>
    </row>
    <row r="53" spans="1:13" ht="23.4">
      <c r="A53" s="155" t="s">
        <v>57</v>
      </c>
      <c r="B53" s="155"/>
      <c r="C53" s="155"/>
      <c r="D53" s="155"/>
      <c r="E53" s="155"/>
      <c r="F53" s="151" t="s">
        <v>58</v>
      </c>
      <c r="G53" s="151"/>
      <c r="H53" s="151"/>
      <c r="I53" s="156" t="str">
        <f>+F53</f>
        <v>CONTRATO PRESTACIÓN DE SERVICIOS</v>
      </c>
      <c r="J53" s="157"/>
      <c r="K53" s="158"/>
    </row>
  </sheetData>
  <mergeCells count="70">
    <mergeCell ref="A52:E52"/>
    <mergeCell ref="F52:H52"/>
    <mergeCell ref="A53:E53"/>
    <mergeCell ref="F53:H53"/>
    <mergeCell ref="I47:K47"/>
    <mergeCell ref="I48:K48"/>
    <mergeCell ref="I51:K51"/>
    <mergeCell ref="I52:K52"/>
    <mergeCell ref="I53:K53"/>
    <mergeCell ref="A47:D47"/>
    <mergeCell ref="A48:D48"/>
    <mergeCell ref="F48:H48"/>
    <mergeCell ref="A51:D51"/>
    <mergeCell ref="F51:H51"/>
    <mergeCell ref="A49:D49"/>
    <mergeCell ref="A50:D50"/>
    <mergeCell ref="F31:K31"/>
    <mergeCell ref="F26:K26"/>
    <mergeCell ref="F27:K27"/>
    <mergeCell ref="F28:K28"/>
    <mergeCell ref="F29:K29"/>
    <mergeCell ref="F30:K30"/>
    <mergeCell ref="F21:K21"/>
    <mergeCell ref="L1:M2"/>
    <mergeCell ref="F16:K16"/>
    <mergeCell ref="A34:L34"/>
    <mergeCell ref="F23:K23"/>
    <mergeCell ref="F24:K24"/>
    <mergeCell ref="F33:K33"/>
    <mergeCell ref="L3:M3"/>
    <mergeCell ref="E9:K9"/>
    <mergeCell ref="E8:K8"/>
    <mergeCell ref="F13:K13"/>
    <mergeCell ref="F15:K15"/>
    <mergeCell ref="L4:L5"/>
    <mergeCell ref="M4:M5"/>
    <mergeCell ref="E10:K10"/>
    <mergeCell ref="F18:K18"/>
    <mergeCell ref="F32:K32"/>
    <mergeCell ref="A5:E5"/>
    <mergeCell ref="F25:K25"/>
    <mergeCell ref="A6:E6"/>
    <mergeCell ref="A1:E4"/>
    <mergeCell ref="F1:K6"/>
    <mergeCell ref="A10:D10"/>
    <mergeCell ref="A7:D7"/>
    <mergeCell ref="A9:D9"/>
    <mergeCell ref="E11:K11"/>
    <mergeCell ref="A8:D8"/>
    <mergeCell ref="A11:D11"/>
    <mergeCell ref="A14:M14"/>
    <mergeCell ref="F19:K19"/>
    <mergeCell ref="F17:K17"/>
    <mergeCell ref="F20:K20"/>
    <mergeCell ref="F22:K22"/>
    <mergeCell ref="I49:K49"/>
    <mergeCell ref="F47:H47"/>
    <mergeCell ref="F45:H45"/>
    <mergeCell ref="A46:D46"/>
    <mergeCell ref="F46:H46"/>
    <mergeCell ref="I46:K46"/>
    <mergeCell ref="E35:K35"/>
    <mergeCell ref="E36:K36"/>
    <mergeCell ref="A43:K43"/>
    <mergeCell ref="A45:D45"/>
    <mergeCell ref="I45:K45"/>
    <mergeCell ref="A41:B41"/>
    <mergeCell ref="A37:L37"/>
    <mergeCell ref="A38:K38"/>
    <mergeCell ref="A39:L39"/>
  </mergeCells>
  <printOptions horizontalCentered="1"/>
  <pageMargins left="0.74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9"/>
  <sheetViews>
    <sheetView topLeftCell="A4" workbookViewId="0">
      <selection activeCell="E14" sqref="E14:H14"/>
    </sheetView>
  </sheetViews>
  <sheetFormatPr baseColWidth="10" defaultColWidth="10.77734375" defaultRowHeight="13.2"/>
  <cols>
    <col min="1" max="1" width="43.21875" style="111" customWidth="1"/>
    <col min="2" max="2" width="11.77734375" style="111" bestFit="1" customWidth="1"/>
    <col min="3" max="3" width="21.5546875" style="115" customWidth="1"/>
    <col min="4" max="4" width="27.5546875" style="115" customWidth="1"/>
    <col min="5" max="20" width="10.77734375" style="111" customWidth="1"/>
    <col min="21" max="256" width="10.77734375" style="111"/>
    <col min="257" max="257" width="41" style="111" customWidth="1"/>
    <col min="258" max="258" width="11.77734375" style="111" bestFit="1" customWidth="1"/>
    <col min="259" max="259" width="21.5546875" style="111" customWidth="1"/>
    <col min="260" max="260" width="24.77734375" style="111" customWidth="1"/>
    <col min="261" max="276" width="10.77734375" style="111" customWidth="1"/>
    <col min="277" max="512" width="10.77734375" style="111"/>
    <col min="513" max="513" width="41" style="111" customWidth="1"/>
    <col min="514" max="514" width="11.77734375" style="111" bestFit="1" customWidth="1"/>
    <col min="515" max="515" width="21.5546875" style="111" customWidth="1"/>
    <col min="516" max="516" width="24.77734375" style="111" customWidth="1"/>
    <col min="517" max="532" width="10.77734375" style="111" customWidth="1"/>
    <col min="533" max="768" width="10.77734375" style="111"/>
    <col min="769" max="769" width="41" style="111" customWidth="1"/>
    <col min="770" max="770" width="11.77734375" style="111" bestFit="1" customWidth="1"/>
    <col min="771" max="771" width="21.5546875" style="111" customWidth="1"/>
    <col min="772" max="772" width="24.77734375" style="111" customWidth="1"/>
    <col min="773" max="788" width="10.77734375" style="111" customWidth="1"/>
    <col min="789" max="1024" width="10.77734375" style="111"/>
    <col min="1025" max="1025" width="41" style="111" customWidth="1"/>
    <col min="1026" max="1026" width="11.77734375" style="111" bestFit="1" customWidth="1"/>
    <col min="1027" max="1027" width="21.5546875" style="111" customWidth="1"/>
    <col min="1028" max="1028" width="24.77734375" style="111" customWidth="1"/>
    <col min="1029" max="1044" width="10.77734375" style="111" customWidth="1"/>
    <col min="1045" max="1280" width="10.77734375" style="111"/>
    <col min="1281" max="1281" width="41" style="111" customWidth="1"/>
    <col min="1282" max="1282" width="11.77734375" style="111" bestFit="1" customWidth="1"/>
    <col min="1283" max="1283" width="21.5546875" style="111" customWidth="1"/>
    <col min="1284" max="1284" width="24.77734375" style="111" customWidth="1"/>
    <col min="1285" max="1300" width="10.77734375" style="111" customWidth="1"/>
    <col min="1301" max="1536" width="10.77734375" style="111"/>
    <col min="1537" max="1537" width="41" style="111" customWidth="1"/>
    <col min="1538" max="1538" width="11.77734375" style="111" bestFit="1" customWidth="1"/>
    <col min="1539" max="1539" width="21.5546875" style="111" customWidth="1"/>
    <col min="1540" max="1540" width="24.77734375" style="111" customWidth="1"/>
    <col min="1541" max="1556" width="10.77734375" style="111" customWidth="1"/>
    <col min="1557" max="1792" width="10.77734375" style="111"/>
    <col min="1793" max="1793" width="41" style="111" customWidth="1"/>
    <col min="1794" max="1794" width="11.77734375" style="111" bestFit="1" customWidth="1"/>
    <col min="1795" max="1795" width="21.5546875" style="111" customWidth="1"/>
    <col min="1796" max="1796" width="24.77734375" style="111" customWidth="1"/>
    <col min="1797" max="1812" width="10.77734375" style="111" customWidth="1"/>
    <col min="1813" max="2048" width="10.77734375" style="111"/>
    <col min="2049" max="2049" width="41" style="111" customWidth="1"/>
    <col min="2050" max="2050" width="11.77734375" style="111" bestFit="1" customWidth="1"/>
    <col min="2051" max="2051" width="21.5546875" style="111" customWidth="1"/>
    <col min="2052" max="2052" width="24.77734375" style="111" customWidth="1"/>
    <col min="2053" max="2068" width="10.77734375" style="111" customWidth="1"/>
    <col min="2069" max="2304" width="10.77734375" style="111"/>
    <col min="2305" max="2305" width="41" style="111" customWidth="1"/>
    <col min="2306" max="2306" width="11.77734375" style="111" bestFit="1" customWidth="1"/>
    <col min="2307" max="2307" width="21.5546875" style="111" customWidth="1"/>
    <col min="2308" max="2308" width="24.77734375" style="111" customWidth="1"/>
    <col min="2309" max="2324" width="10.77734375" style="111" customWidth="1"/>
    <col min="2325" max="2560" width="10.77734375" style="111"/>
    <col min="2561" max="2561" width="41" style="111" customWidth="1"/>
    <col min="2562" max="2562" width="11.77734375" style="111" bestFit="1" customWidth="1"/>
    <col min="2563" max="2563" width="21.5546875" style="111" customWidth="1"/>
    <col min="2564" max="2564" width="24.77734375" style="111" customWidth="1"/>
    <col min="2565" max="2580" width="10.77734375" style="111" customWidth="1"/>
    <col min="2581" max="2816" width="10.77734375" style="111"/>
    <col min="2817" max="2817" width="41" style="111" customWidth="1"/>
    <col min="2818" max="2818" width="11.77734375" style="111" bestFit="1" customWidth="1"/>
    <col min="2819" max="2819" width="21.5546875" style="111" customWidth="1"/>
    <col min="2820" max="2820" width="24.77734375" style="111" customWidth="1"/>
    <col min="2821" max="2836" width="10.77734375" style="111" customWidth="1"/>
    <col min="2837" max="3072" width="10.77734375" style="111"/>
    <col min="3073" max="3073" width="41" style="111" customWidth="1"/>
    <col min="3074" max="3074" width="11.77734375" style="111" bestFit="1" customWidth="1"/>
    <col min="3075" max="3075" width="21.5546875" style="111" customWidth="1"/>
    <col min="3076" max="3076" width="24.77734375" style="111" customWidth="1"/>
    <col min="3077" max="3092" width="10.77734375" style="111" customWidth="1"/>
    <col min="3093" max="3328" width="10.77734375" style="111"/>
    <col min="3329" max="3329" width="41" style="111" customWidth="1"/>
    <col min="3330" max="3330" width="11.77734375" style="111" bestFit="1" customWidth="1"/>
    <col min="3331" max="3331" width="21.5546875" style="111" customWidth="1"/>
    <col min="3332" max="3332" width="24.77734375" style="111" customWidth="1"/>
    <col min="3333" max="3348" width="10.77734375" style="111" customWidth="1"/>
    <col min="3349" max="3584" width="10.77734375" style="111"/>
    <col min="3585" max="3585" width="41" style="111" customWidth="1"/>
    <col min="3586" max="3586" width="11.77734375" style="111" bestFit="1" customWidth="1"/>
    <col min="3587" max="3587" width="21.5546875" style="111" customWidth="1"/>
    <col min="3588" max="3588" width="24.77734375" style="111" customWidth="1"/>
    <col min="3589" max="3604" width="10.77734375" style="111" customWidth="1"/>
    <col min="3605" max="3840" width="10.77734375" style="111"/>
    <col min="3841" max="3841" width="41" style="111" customWidth="1"/>
    <col min="3842" max="3842" width="11.77734375" style="111" bestFit="1" customWidth="1"/>
    <col min="3843" max="3843" width="21.5546875" style="111" customWidth="1"/>
    <col min="3844" max="3844" width="24.77734375" style="111" customWidth="1"/>
    <col min="3845" max="3860" width="10.77734375" style="111" customWidth="1"/>
    <col min="3861" max="4096" width="10.77734375" style="111"/>
    <col min="4097" max="4097" width="41" style="111" customWidth="1"/>
    <col min="4098" max="4098" width="11.77734375" style="111" bestFit="1" customWidth="1"/>
    <col min="4099" max="4099" width="21.5546875" style="111" customWidth="1"/>
    <col min="4100" max="4100" width="24.77734375" style="111" customWidth="1"/>
    <col min="4101" max="4116" width="10.77734375" style="111" customWidth="1"/>
    <col min="4117" max="4352" width="10.77734375" style="111"/>
    <col min="4353" max="4353" width="41" style="111" customWidth="1"/>
    <col min="4354" max="4354" width="11.77734375" style="111" bestFit="1" customWidth="1"/>
    <col min="4355" max="4355" width="21.5546875" style="111" customWidth="1"/>
    <col min="4356" max="4356" width="24.77734375" style="111" customWidth="1"/>
    <col min="4357" max="4372" width="10.77734375" style="111" customWidth="1"/>
    <col min="4373" max="4608" width="10.77734375" style="111"/>
    <col min="4609" max="4609" width="41" style="111" customWidth="1"/>
    <col min="4610" max="4610" width="11.77734375" style="111" bestFit="1" customWidth="1"/>
    <col min="4611" max="4611" width="21.5546875" style="111" customWidth="1"/>
    <col min="4612" max="4612" width="24.77734375" style="111" customWidth="1"/>
    <col min="4613" max="4628" width="10.77734375" style="111" customWidth="1"/>
    <col min="4629" max="4864" width="10.77734375" style="111"/>
    <col min="4865" max="4865" width="41" style="111" customWidth="1"/>
    <col min="4866" max="4866" width="11.77734375" style="111" bestFit="1" customWidth="1"/>
    <col min="4867" max="4867" width="21.5546875" style="111" customWidth="1"/>
    <col min="4868" max="4868" width="24.77734375" style="111" customWidth="1"/>
    <col min="4869" max="4884" width="10.77734375" style="111" customWidth="1"/>
    <col min="4885" max="5120" width="10.77734375" style="111"/>
    <col min="5121" max="5121" width="41" style="111" customWidth="1"/>
    <col min="5122" max="5122" width="11.77734375" style="111" bestFit="1" customWidth="1"/>
    <col min="5123" max="5123" width="21.5546875" style="111" customWidth="1"/>
    <col min="5124" max="5124" width="24.77734375" style="111" customWidth="1"/>
    <col min="5125" max="5140" width="10.77734375" style="111" customWidth="1"/>
    <col min="5141" max="5376" width="10.77734375" style="111"/>
    <col min="5377" max="5377" width="41" style="111" customWidth="1"/>
    <col min="5378" max="5378" width="11.77734375" style="111" bestFit="1" customWidth="1"/>
    <col min="5379" max="5379" width="21.5546875" style="111" customWidth="1"/>
    <col min="5380" max="5380" width="24.77734375" style="111" customWidth="1"/>
    <col min="5381" max="5396" width="10.77734375" style="111" customWidth="1"/>
    <col min="5397" max="5632" width="10.77734375" style="111"/>
    <col min="5633" max="5633" width="41" style="111" customWidth="1"/>
    <col min="5634" max="5634" width="11.77734375" style="111" bestFit="1" customWidth="1"/>
    <col min="5635" max="5635" width="21.5546875" style="111" customWidth="1"/>
    <col min="5636" max="5636" width="24.77734375" style="111" customWidth="1"/>
    <col min="5637" max="5652" width="10.77734375" style="111" customWidth="1"/>
    <col min="5653" max="5888" width="10.77734375" style="111"/>
    <col min="5889" max="5889" width="41" style="111" customWidth="1"/>
    <col min="5890" max="5890" width="11.77734375" style="111" bestFit="1" customWidth="1"/>
    <col min="5891" max="5891" width="21.5546875" style="111" customWidth="1"/>
    <col min="5892" max="5892" width="24.77734375" style="111" customWidth="1"/>
    <col min="5893" max="5908" width="10.77734375" style="111" customWidth="1"/>
    <col min="5909" max="6144" width="10.77734375" style="111"/>
    <col min="6145" max="6145" width="41" style="111" customWidth="1"/>
    <col min="6146" max="6146" width="11.77734375" style="111" bestFit="1" customWidth="1"/>
    <col min="6147" max="6147" width="21.5546875" style="111" customWidth="1"/>
    <col min="6148" max="6148" width="24.77734375" style="111" customWidth="1"/>
    <col min="6149" max="6164" width="10.77734375" style="111" customWidth="1"/>
    <col min="6165" max="6400" width="10.77734375" style="111"/>
    <col min="6401" max="6401" width="41" style="111" customWidth="1"/>
    <col min="6402" max="6402" width="11.77734375" style="111" bestFit="1" customWidth="1"/>
    <col min="6403" max="6403" width="21.5546875" style="111" customWidth="1"/>
    <col min="6404" max="6404" width="24.77734375" style="111" customWidth="1"/>
    <col min="6405" max="6420" width="10.77734375" style="111" customWidth="1"/>
    <col min="6421" max="6656" width="10.77734375" style="111"/>
    <col min="6657" max="6657" width="41" style="111" customWidth="1"/>
    <col min="6658" max="6658" width="11.77734375" style="111" bestFit="1" customWidth="1"/>
    <col min="6659" max="6659" width="21.5546875" style="111" customWidth="1"/>
    <col min="6660" max="6660" width="24.77734375" style="111" customWidth="1"/>
    <col min="6661" max="6676" width="10.77734375" style="111" customWidth="1"/>
    <col min="6677" max="6912" width="10.77734375" style="111"/>
    <col min="6913" max="6913" width="41" style="111" customWidth="1"/>
    <col min="6914" max="6914" width="11.77734375" style="111" bestFit="1" customWidth="1"/>
    <col min="6915" max="6915" width="21.5546875" style="111" customWidth="1"/>
    <col min="6916" max="6916" width="24.77734375" style="111" customWidth="1"/>
    <col min="6917" max="6932" width="10.77734375" style="111" customWidth="1"/>
    <col min="6933" max="7168" width="10.77734375" style="111"/>
    <col min="7169" max="7169" width="41" style="111" customWidth="1"/>
    <col min="7170" max="7170" width="11.77734375" style="111" bestFit="1" customWidth="1"/>
    <col min="7171" max="7171" width="21.5546875" style="111" customWidth="1"/>
    <col min="7172" max="7172" width="24.77734375" style="111" customWidth="1"/>
    <col min="7173" max="7188" width="10.77734375" style="111" customWidth="1"/>
    <col min="7189" max="7424" width="10.77734375" style="111"/>
    <col min="7425" max="7425" width="41" style="111" customWidth="1"/>
    <col min="7426" max="7426" width="11.77734375" style="111" bestFit="1" customWidth="1"/>
    <col min="7427" max="7427" width="21.5546875" style="111" customWidth="1"/>
    <col min="7428" max="7428" width="24.77734375" style="111" customWidth="1"/>
    <col min="7429" max="7444" width="10.77734375" style="111" customWidth="1"/>
    <col min="7445" max="7680" width="10.77734375" style="111"/>
    <col min="7681" max="7681" width="41" style="111" customWidth="1"/>
    <col min="7682" max="7682" width="11.77734375" style="111" bestFit="1" customWidth="1"/>
    <col min="7683" max="7683" width="21.5546875" style="111" customWidth="1"/>
    <col min="7684" max="7684" width="24.77734375" style="111" customWidth="1"/>
    <col min="7685" max="7700" width="10.77734375" style="111" customWidth="1"/>
    <col min="7701" max="7936" width="10.77734375" style="111"/>
    <col min="7937" max="7937" width="41" style="111" customWidth="1"/>
    <col min="7938" max="7938" width="11.77734375" style="111" bestFit="1" customWidth="1"/>
    <col min="7939" max="7939" width="21.5546875" style="111" customWidth="1"/>
    <col min="7940" max="7940" width="24.77734375" style="111" customWidth="1"/>
    <col min="7941" max="7956" width="10.77734375" style="111" customWidth="1"/>
    <col min="7957" max="8192" width="10.77734375" style="111"/>
    <col min="8193" max="8193" width="41" style="111" customWidth="1"/>
    <col min="8194" max="8194" width="11.77734375" style="111" bestFit="1" customWidth="1"/>
    <col min="8195" max="8195" width="21.5546875" style="111" customWidth="1"/>
    <col min="8196" max="8196" width="24.77734375" style="111" customWidth="1"/>
    <col min="8197" max="8212" width="10.77734375" style="111" customWidth="1"/>
    <col min="8213" max="8448" width="10.77734375" style="111"/>
    <col min="8449" max="8449" width="41" style="111" customWidth="1"/>
    <col min="8450" max="8450" width="11.77734375" style="111" bestFit="1" customWidth="1"/>
    <col min="8451" max="8451" width="21.5546875" style="111" customWidth="1"/>
    <col min="8452" max="8452" width="24.77734375" style="111" customWidth="1"/>
    <col min="8453" max="8468" width="10.77734375" style="111" customWidth="1"/>
    <col min="8469" max="8704" width="10.77734375" style="111"/>
    <col min="8705" max="8705" width="41" style="111" customWidth="1"/>
    <col min="8706" max="8706" width="11.77734375" style="111" bestFit="1" customWidth="1"/>
    <col min="8707" max="8707" width="21.5546875" style="111" customWidth="1"/>
    <col min="8708" max="8708" width="24.77734375" style="111" customWidth="1"/>
    <col min="8709" max="8724" width="10.77734375" style="111" customWidth="1"/>
    <col min="8725" max="8960" width="10.77734375" style="111"/>
    <col min="8961" max="8961" width="41" style="111" customWidth="1"/>
    <col min="8962" max="8962" width="11.77734375" style="111" bestFit="1" customWidth="1"/>
    <col min="8963" max="8963" width="21.5546875" style="111" customWidth="1"/>
    <col min="8964" max="8964" width="24.77734375" style="111" customWidth="1"/>
    <col min="8965" max="8980" width="10.77734375" style="111" customWidth="1"/>
    <col min="8981" max="9216" width="10.77734375" style="111"/>
    <col min="9217" max="9217" width="41" style="111" customWidth="1"/>
    <col min="9218" max="9218" width="11.77734375" style="111" bestFit="1" customWidth="1"/>
    <col min="9219" max="9219" width="21.5546875" style="111" customWidth="1"/>
    <col min="9220" max="9220" width="24.77734375" style="111" customWidth="1"/>
    <col min="9221" max="9236" width="10.77734375" style="111" customWidth="1"/>
    <col min="9237" max="9472" width="10.77734375" style="111"/>
    <col min="9473" max="9473" width="41" style="111" customWidth="1"/>
    <col min="9474" max="9474" width="11.77734375" style="111" bestFit="1" customWidth="1"/>
    <col min="9475" max="9475" width="21.5546875" style="111" customWidth="1"/>
    <col min="9476" max="9476" width="24.77734375" style="111" customWidth="1"/>
    <col min="9477" max="9492" width="10.77734375" style="111" customWidth="1"/>
    <col min="9493" max="9728" width="10.77734375" style="111"/>
    <col min="9729" max="9729" width="41" style="111" customWidth="1"/>
    <col min="9730" max="9730" width="11.77734375" style="111" bestFit="1" customWidth="1"/>
    <col min="9731" max="9731" width="21.5546875" style="111" customWidth="1"/>
    <col min="9732" max="9732" width="24.77734375" style="111" customWidth="1"/>
    <col min="9733" max="9748" width="10.77734375" style="111" customWidth="1"/>
    <col min="9749" max="9984" width="10.77734375" style="111"/>
    <col min="9985" max="9985" width="41" style="111" customWidth="1"/>
    <col min="9986" max="9986" width="11.77734375" style="111" bestFit="1" customWidth="1"/>
    <col min="9987" max="9987" width="21.5546875" style="111" customWidth="1"/>
    <col min="9988" max="9988" width="24.77734375" style="111" customWidth="1"/>
    <col min="9989" max="10004" width="10.77734375" style="111" customWidth="1"/>
    <col min="10005" max="10240" width="10.77734375" style="111"/>
    <col min="10241" max="10241" width="41" style="111" customWidth="1"/>
    <col min="10242" max="10242" width="11.77734375" style="111" bestFit="1" customWidth="1"/>
    <col min="10243" max="10243" width="21.5546875" style="111" customWidth="1"/>
    <col min="10244" max="10244" width="24.77734375" style="111" customWidth="1"/>
    <col min="10245" max="10260" width="10.77734375" style="111" customWidth="1"/>
    <col min="10261" max="10496" width="10.77734375" style="111"/>
    <col min="10497" max="10497" width="41" style="111" customWidth="1"/>
    <col min="10498" max="10498" width="11.77734375" style="111" bestFit="1" customWidth="1"/>
    <col min="10499" max="10499" width="21.5546875" style="111" customWidth="1"/>
    <col min="10500" max="10500" width="24.77734375" style="111" customWidth="1"/>
    <col min="10501" max="10516" width="10.77734375" style="111" customWidth="1"/>
    <col min="10517" max="10752" width="10.77734375" style="111"/>
    <col min="10753" max="10753" width="41" style="111" customWidth="1"/>
    <col min="10754" max="10754" width="11.77734375" style="111" bestFit="1" customWidth="1"/>
    <col min="10755" max="10755" width="21.5546875" style="111" customWidth="1"/>
    <col min="10756" max="10756" width="24.77734375" style="111" customWidth="1"/>
    <col min="10757" max="10772" width="10.77734375" style="111" customWidth="1"/>
    <col min="10773" max="11008" width="10.77734375" style="111"/>
    <col min="11009" max="11009" width="41" style="111" customWidth="1"/>
    <col min="11010" max="11010" width="11.77734375" style="111" bestFit="1" customWidth="1"/>
    <col min="11011" max="11011" width="21.5546875" style="111" customWidth="1"/>
    <col min="11012" max="11012" width="24.77734375" style="111" customWidth="1"/>
    <col min="11013" max="11028" width="10.77734375" style="111" customWidth="1"/>
    <col min="11029" max="11264" width="10.77734375" style="111"/>
    <col min="11265" max="11265" width="41" style="111" customWidth="1"/>
    <col min="11266" max="11266" width="11.77734375" style="111" bestFit="1" customWidth="1"/>
    <col min="11267" max="11267" width="21.5546875" style="111" customWidth="1"/>
    <col min="11268" max="11268" width="24.77734375" style="111" customWidth="1"/>
    <col min="11269" max="11284" width="10.77734375" style="111" customWidth="1"/>
    <col min="11285" max="11520" width="10.77734375" style="111"/>
    <col min="11521" max="11521" width="41" style="111" customWidth="1"/>
    <col min="11522" max="11522" width="11.77734375" style="111" bestFit="1" customWidth="1"/>
    <col min="11523" max="11523" width="21.5546875" style="111" customWidth="1"/>
    <col min="11524" max="11524" width="24.77734375" style="111" customWidth="1"/>
    <col min="11525" max="11540" width="10.77734375" style="111" customWidth="1"/>
    <col min="11541" max="11776" width="10.77734375" style="111"/>
    <col min="11777" max="11777" width="41" style="111" customWidth="1"/>
    <col min="11778" max="11778" width="11.77734375" style="111" bestFit="1" customWidth="1"/>
    <col min="11779" max="11779" width="21.5546875" style="111" customWidth="1"/>
    <col min="11780" max="11780" width="24.77734375" style="111" customWidth="1"/>
    <col min="11781" max="11796" width="10.77734375" style="111" customWidth="1"/>
    <col min="11797" max="12032" width="10.77734375" style="111"/>
    <col min="12033" max="12033" width="41" style="111" customWidth="1"/>
    <col min="12034" max="12034" width="11.77734375" style="111" bestFit="1" customWidth="1"/>
    <col min="12035" max="12035" width="21.5546875" style="111" customWidth="1"/>
    <col min="12036" max="12036" width="24.77734375" style="111" customWidth="1"/>
    <col min="12037" max="12052" width="10.77734375" style="111" customWidth="1"/>
    <col min="12053" max="12288" width="10.77734375" style="111"/>
    <col min="12289" max="12289" width="41" style="111" customWidth="1"/>
    <col min="12290" max="12290" width="11.77734375" style="111" bestFit="1" customWidth="1"/>
    <col min="12291" max="12291" width="21.5546875" style="111" customWidth="1"/>
    <col min="12292" max="12292" width="24.77734375" style="111" customWidth="1"/>
    <col min="12293" max="12308" width="10.77734375" style="111" customWidth="1"/>
    <col min="12309" max="12544" width="10.77734375" style="111"/>
    <col min="12545" max="12545" width="41" style="111" customWidth="1"/>
    <col min="12546" max="12546" width="11.77734375" style="111" bestFit="1" customWidth="1"/>
    <col min="12547" max="12547" width="21.5546875" style="111" customWidth="1"/>
    <col min="12548" max="12548" width="24.77734375" style="111" customWidth="1"/>
    <col min="12549" max="12564" width="10.77734375" style="111" customWidth="1"/>
    <col min="12565" max="12800" width="10.77734375" style="111"/>
    <col min="12801" max="12801" width="41" style="111" customWidth="1"/>
    <col min="12802" max="12802" width="11.77734375" style="111" bestFit="1" customWidth="1"/>
    <col min="12803" max="12803" width="21.5546875" style="111" customWidth="1"/>
    <col min="12804" max="12804" width="24.77734375" style="111" customWidth="1"/>
    <col min="12805" max="12820" width="10.77734375" style="111" customWidth="1"/>
    <col min="12821" max="13056" width="10.77734375" style="111"/>
    <col min="13057" max="13057" width="41" style="111" customWidth="1"/>
    <col min="13058" max="13058" width="11.77734375" style="111" bestFit="1" customWidth="1"/>
    <col min="13059" max="13059" width="21.5546875" style="111" customWidth="1"/>
    <col min="13060" max="13060" width="24.77734375" style="111" customWidth="1"/>
    <col min="13061" max="13076" width="10.77734375" style="111" customWidth="1"/>
    <col min="13077" max="13312" width="10.77734375" style="111"/>
    <col min="13313" max="13313" width="41" style="111" customWidth="1"/>
    <col min="13314" max="13314" width="11.77734375" style="111" bestFit="1" customWidth="1"/>
    <col min="13315" max="13315" width="21.5546875" style="111" customWidth="1"/>
    <col min="13316" max="13316" width="24.77734375" style="111" customWidth="1"/>
    <col min="13317" max="13332" width="10.77734375" style="111" customWidth="1"/>
    <col min="13333" max="13568" width="10.77734375" style="111"/>
    <col min="13569" max="13569" width="41" style="111" customWidth="1"/>
    <col min="13570" max="13570" width="11.77734375" style="111" bestFit="1" customWidth="1"/>
    <col min="13571" max="13571" width="21.5546875" style="111" customWidth="1"/>
    <col min="13572" max="13572" width="24.77734375" style="111" customWidth="1"/>
    <col min="13573" max="13588" width="10.77734375" style="111" customWidth="1"/>
    <col min="13589" max="13824" width="10.77734375" style="111"/>
    <col min="13825" max="13825" width="41" style="111" customWidth="1"/>
    <col min="13826" max="13826" width="11.77734375" style="111" bestFit="1" customWidth="1"/>
    <col min="13827" max="13827" width="21.5546875" style="111" customWidth="1"/>
    <col min="13828" max="13828" width="24.77734375" style="111" customWidth="1"/>
    <col min="13829" max="13844" width="10.77734375" style="111" customWidth="1"/>
    <col min="13845" max="14080" width="10.77734375" style="111"/>
    <col min="14081" max="14081" width="41" style="111" customWidth="1"/>
    <col min="14082" max="14082" width="11.77734375" style="111" bestFit="1" customWidth="1"/>
    <col min="14083" max="14083" width="21.5546875" style="111" customWidth="1"/>
    <col min="14084" max="14084" width="24.77734375" style="111" customWidth="1"/>
    <col min="14085" max="14100" width="10.77734375" style="111" customWidth="1"/>
    <col min="14101" max="14336" width="10.77734375" style="111"/>
    <col min="14337" max="14337" width="41" style="111" customWidth="1"/>
    <col min="14338" max="14338" width="11.77734375" style="111" bestFit="1" customWidth="1"/>
    <col min="14339" max="14339" width="21.5546875" style="111" customWidth="1"/>
    <col min="14340" max="14340" width="24.77734375" style="111" customWidth="1"/>
    <col min="14341" max="14356" width="10.77734375" style="111" customWidth="1"/>
    <col min="14357" max="14592" width="10.77734375" style="111"/>
    <col min="14593" max="14593" width="41" style="111" customWidth="1"/>
    <col min="14594" max="14594" width="11.77734375" style="111" bestFit="1" customWidth="1"/>
    <col min="14595" max="14595" width="21.5546875" style="111" customWidth="1"/>
    <col min="14596" max="14596" width="24.77734375" style="111" customWidth="1"/>
    <col min="14597" max="14612" width="10.77734375" style="111" customWidth="1"/>
    <col min="14613" max="14848" width="10.77734375" style="111"/>
    <col min="14849" max="14849" width="41" style="111" customWidth="1"/>
    <col min="14850" max="14850" width="11.77734375" style="111" bestFit="1" customWidth="1"/>
    <col min="14851" max="14851" width="21.5546875" style="111" customWidth="1"/>
    <col min="14852" max="14852" width="24.77734375" style="111" customWidth="1"/>
    <col min="14853" max="14868" width="10.77734375" style="111" customWidth="1"/>
    <col min="14869" max="15104" width="10.77734375" style="111"/>
    <col min="15105" max="15105" width="41" style="111" customWidth="1"/>
    <col min="15106" max="15106" width="11.77734375" style="111" bestFit="1" customWidth="1"/>
    <col min="15107" max="15107" width="21.5546875" style="111" customWidth="1"/>
    <col min="15108" max="15108" width="24.77734375" style="111" customWidth="1"/>
    <col min="15109" max="15124" width="10.77734375" style="111" customWidth="1"/>
    <col min="15125" max="15360" width="10.77734375" style="111"/>
    <col min="15361" max="15361" width="41" style="111" customWidth="1"/>
    <col min="15362" max="15362" width="11.77734375" style="111" bestFit="1" customWidth="1"/>
    <col min="15363" max="15363" width="21.5546875" style="111" customWidth="1"/>
    <col min="15364" max="15364" width="24.77734375" style="111" customWidth="1"/>
    <col min="15365" max="15380" width="10.77734375" style="111" customWidth="1"/>
    <col min="15381" max="15616" width="10.77734375" style="111"/>
    <col min="15617" max="15617" width="41" style="111" customWidth="1"/>
    <col min="15618" max="15618" width="11.77734375" style="111" bestFit="1" customWidth="1"/>
    <col min="15619" max="15619" width="21.5546875" style="111" customWidth="1"/>
    <col min="15620" max="15620" width="24.77734375" style="111" customWidth="1"/>
    <col min="15621" max="15636" width="10.77734375" style="111" customWidth="1"/>
    <col min="15637" max="15872" width="10.77734375" style="111"/>
    <col min="15873" max="15873" width="41" style="111" customWidth="1"/>
    <col min="15874" max="15874" width="11.77734375" style="111" bestFit="1" customWidth="1"/>
    <col min="15875" max="15875" width="21.5546875" style="111" customWidth="1"/>
    <col min="15876" max="15876" width="24.77734375" style="111" customWidth="1"/>
    <col min="15877" max="15892" width="10.77734375" style="111" customWidth="1"/>
    <col min="15893" max="16128" width="10.77734375" style="111"/>
    <col min="16129" max="16129" width="41" style="111" customWidth="1"/>
    <col min="16130" max="16130" width="11.77734375" style="111" bestFit="1" customWidth="1"/>
    <col min="16131" max="16131" width="21.5546875" style="111" customWidth="1"/>
    <col min="16132" max="16132" width="24.77734375" style="111" customWidth="1"/>
    <col min="16133" max="16148" width="10.77734375" style="111" customWidth="1"/>
    <col min="16149" max="16384" width="10.77734375" style="111"/>
  </cols>
  <sheetData>
    <row r="1" spans="1:8" s="65" customFormat="1" ht="18" customHeight="1">
      <c r="A1" s="238" t="s">
        <v>61</v>
      </c>
      <c r="B1" s="238"/>
      <c r="C1" s="238"/>
      <c r="D1" s="238"/>
      <c r="E1" s="64"/>
      <c r="F1" s="64"/>
      <c r="G1" s="64"/>
      <c r="H1" s="64"/>
    </row>
    <row r="2" spans="1:8" s="65" customFormat="1" ht="15.6">
      <c r="A2" s="239" t="s">
        <v>62</v>
      </c>
      <c r="B2" s="239"/>
      <c r="C2" s="239"/>
      <c r="D2" s="239"/>
    </row>
    <row r="3" spans="1:8" s="65" customFormat="1" ht="15" customHeight="1">
      <c r="A3" s="240" t="s">
        <v>63</v>
      </c>
      <c r="B3" s="240"/>
      <c r="C3" s="240"/>
      <c r="D3" s="240"/>
    </row>
    <row r="4" spans="1:8" s="66" customFormat="1" ht="15" customHeight="1">
      <c r="A4" s="241" t="s">
        <v>64</v>
      </c>
      <c r="B4" s="241"/>
      <c r="C4" s="241"/>
      <c r="D4" s="241"/>
      <c r="E4" s="65"/>
      <c r="F4" s="65"/>
      <c r="G4" s="65"/>
      <c r="H4" s="65"/>
    </row>
    <row r="5" spans="1:8" s="66" customFormat="1">
      <c r="C5" s="242" t="s">
        <v>100</v>
      </c>
      <c r="D5" s="243"/>
    </row>
    <row r="6" spans="1:8" s="66" customFormat="1">
      <c r="A6" s="67" t="s">
        <v>65</v>
      </c>
      <c r="B6" s="68" t="s">
        <v>66</v>
      </c>
      <c r="C6" s="69" t="s">
        <v>67</v>
      </c>
      <c r="D6" s="69" t="s">
        <v>68</v>
      </c>
    </row>
    <row r="7" spans="1:8" s="65" customFormat="1">
      <c r="A7" s="70" t="s">
        <v>69</v>
      </c>
      <c r="B7" s="67"/>
      <c r="C7" s="71"/>
      <c r="D7" s="71"/>
      <c r="E7" s="66"/>
      <c r="F7" s="66"/>
      <c r="G7" s="66"/>
      <c r="H7" s="66"/>
    </row>
    <row r="8" spans="1:8" s="65" customFormat="1">
      <c r="A8" s="72" t="s">
        <v>70</v>
      </c>
      <c r="B8" s="73"/>
      <c r="C8" s="74">
        <v>1500</v>
      </c>
      <c r="D8" s="74">
        <v>1500</v>
      </c>
      <c r="E8" s="66"/>
      <c r="F8" s="66"/>
      <c r="G8" s="66"/>
      <c r="H8" s="66"/>
    </row>
    <row r="9" spans="1:8" s="65" customFormat="1">
      <c r="A9" s="75" t="s">
        <v>71</v>
      </c>
      <c r="B9" s="76">
        <v>10</v>
      </c>
      <c r="C9" s="77">
        <f>0.1*C8</f>
        <v>150</v>
      </c>
      <c r="D9" s="77">
        <f>0.1*D8</f>
        <v>150</v>
      </c>
    </row>
    <row r="10" spans="1:8" s="65" customFormat="1">
      <c r="A10" s="78" t="s">
        <v>72</v>
      </c>
      <c r="B10" s="79"/>
      <c r="C10" s="80"/>
      <c r="D10" s="81"/>
    </row>
    <row r="11" spans="1:8" s="65" customFormat="1" ht="22.5" customHeight="1">
      <c r="A11" s="78" t="s">
        <v>73</v>
      </c>
      <c r="B11" s="76">
        <v>35</v>
      </c>
      <c r="C11" s="82">
        <v>0</v>
      </c>
      <c r="D11" s="77">
        <f>D8*0.35</f>
        <v>525</v>
      </c>
    </row>
    <row r="12" spans="1:8" s="65" customFormat="1">
      <c r="A12" s="75" t="s">
        <v>74</v>
      </c>
      <c r="B12" s="76">
        <v>25</v>
      </c>
      <c r="C12" s="77">
        <f>(((C8+C9)/30)/8)*1.25*2*20</f>
        <v>343.75</v>
      </c>
      <c r="D12" s="77">
        <f>(((D8+D9+D11)/30)/8)*1.25*2*20</f>
        <v>453.125</v>
      </c>
    </row>
    <row r="13" spans="1:8" s="65" customFormat="1" ht="13.8" thickBot="1">
      <c r="A13" s="83" t="s">
        <v>75</v>
      </c>
      <c r="B13" s="84">
        <v>35</v>
      </c>
      <c r="C13" s="85">
        <f>(((C8+C9)/30)/8)*1.35*2*20</f>
        <v>371.25</v>
      </c>
      <c r="D13" s="85">
        <f>(((D8+D9+D11)/30)/8)*1.35*2*20</f>
        <v>489.375</v>
      </c>
    </row>
    <row r="14" spans="1:8" s="65" customFormat="1" ht="13.8" thickBot="1">
      <c r="A14" s="86" t="s">
        <v>76</v>
      </c>
      <c r="B14" s="87"/>
      <c r="C14" s="88">
        <f>SUM(C8:C13)</f>
        <v>2365</v>
      </c>
      <c r="D14" s="89">
        <f>SUM(D8:D13)</f>
        <v>3117.5</v>
      </c>
      <c r="E14" s="90"/>
    </row>
    <row r="15" spans="1:8" s="65" customFormat="1">
      <c r="A15" s="91" t="s">
        <v>77</v>
      </c>
      <c r="B15" s="92"/>
      <c r="C15" s="93">
        <f>+((C8/30)/8*2)*12</f>
        <v>150</v>
      </c>
      <c r="D15" s="93">
        <f>+((D8/30)/8*2)*12</f>
        <v>150</v>
      </c>
    </row>
    <row r="16" spans="1:8" s="65" customFormat="1" ht="24.75" customHeight="1" thickBot="1">
      <c r="A16" s="83" t="s">
        <v>78</v>
      </c>
      <c r="B16" s="84"/>
      <c r="C16" s="94">
        <f>C14*(1/6)</f>
        <v>394.16666666666663</v>
      </c>
      <c r="D16" s="94">
        <f>D14*(1/6)</f>
        <v>519.58333333333326</v>
      </c>
    </row>
    <row r="17" spans="1:8" s="65" customFormat="1" ht="13.8" thickBot="1">
      <c r="A17" s="86" t="s">
        <v>79</v>
      </c>
      <c r="B17" s="95"/>
      <c r="C17" s="88">
        <f>SUM(C14:C16)</f>
        <v>2909.1666666666665</v>
      </c>
      <c r="D17" s="89">
        <f>SUM(D14:D16)</f>
        <v>3787.083333333333</v>
      </c>
    </row>
    <row r="18" spans="1:8" s="65" customFormat="1" ht="20.399999999999999">
      <c r="A18" s="96" t="s">
        <v>80</v>
      </c>
      <c r="B18" s="92">
        <v>8.33</v>
      </c>
      <c r="C18" s="93">
        <f>+C17*$B$18/100/2</f>
        <v>121.16679166666667</v>
      </c>
      <c r="D18" s="93">
        <f>+D17*$B$18/100/2</f>
        <v>157.73202083333331</v>
      </c>
    </row>
    <row r="19" spans="1:8" s="65" customFormat="1" ht="20.399999999999999">
      <c r="A19" s="78" t="s">
        <v>81</v>
      </c>
      <c r="B19" s="76">
        <v>16.670000000000002</v>
      </c>
      <c r="C19" s="97">
        <f>+C17*$B$19/100/2</f>
        <v>242.47904166666666</v>
      </c>
      <c r="D19" s="97">
        <f>+D17*$B$19/100/2</f>
        <v>315.65339583333332</v>
      </c>
    </row>
    <row r="20" spans="1:8" s="65" customFormat="1">
      <c r="A20" s="98" t="s">
        <v>82</v>
      </c>
      <c r="B20" s="99">
        <v>9</v>
      </c>
      <c r="C20" s="100">
        <f>+C19*$B$20/100</f>
        <v>21.823113749999997</v>
      </c>
      <c r="D20" s="100">
        <f>+D19*$B$20/100</f>
        <v>28.408805624999999</v>
      </c>
    </row>
    <row r="21" spans="1:8" s="65" customFormat="1" ht="13.8" thickBot="1">
      <c r="A21" s="101" t="s">
        <v>83</v>
      </c>
      <c r="B21" s="84">
        <v>9.7200000000000006</v>
      </c>
      <c r="C21" s="94">
        <f>+C17*$B$21/100/2</f>
        <v>141.38550000000001</v>
      </c>
      <c r="D21" s="94">
        <f>+D17*$B$21/100/2</f>
        <v>184.05224999999999</v>
      </c>
    </row>
    <row r="22" spans="1:8" s="65" customFormat="1" ht="13.8" thickBot="1">
      <c r="A22" s="86" t="s">
        <v>84</v>
      </c>
      <c r="B22" s="87"/>
      <c r="C22" s="88">
        <f>SUM(C17:C21)</f>
        <v>3436.0211137499996</v>
      </c>
      <c r="D22" s="88">
        <f>SUM(D17:D21)</f>
        <v>4472.9298056249991</v>
      </c>
    </row>
    <row r="23" spans="1:8" s="65" customFormat="1">
      <c r="A23" s="102" t="s">
        <v>85</v>
      </c>
      <c r="B23" s="92"/>
      <c r="C23" s="103"/>
      <c r="D23" s="103"/>
    </row>
    <row r="24" spans="1:8" s="66" customFormat="1">
      <c r="A24" s="75" t="s">
        <v>86</v>
      </c>
      <c r="B24" s="76">
        <v>9</v>
      </c>
      <c r="C24" s="97">
        <f>+(C17+C18)*$B$24/100</f>
        <v>272.73001124999996</v>
      </c>
      <c r="D24" s="97">
        <f>+(D17+D18)*$B$24/100</f>
        <v>355.03338187499998</v>
      </c>
      <c r="E24" s="65"/>
      <c r="F24" s="65"/>
      <c r="G24" s="65"/>
      <c r="H24" s="65"/>
    </row>
    <row r="25" spans="1:8" s="65" customFormat="1">
      <c r="A25" s="78" t="s">
        <v>87</v>
      </c>
      <c r="B25" s="76">
        <v>1.5</v>
      </c>
      <c r="C25" s="97"/>
      <c r="D25" s="97"/>
    </row>
    <row r="26" spans="1:8" s="65" customFormat="1">
      <c r="A26" s="70" t="s">
        <v>88</v>
      </c>
      <c r="B26" s="70"/>
      <c r="C26" s="104">
        <f>SUM(C22:C25)</f>
        <v>3708.7511249999998</v>
      </c>
      <c r="D26" s="104">
        <f>SUM(D22:D25)</f>
        <v>4827.9631874999986</v>
      </c>
      <c r="E26" s="66"/>
      <c r="F26" s="66"/>
      <c r="G26" s="66"/>
      <c r="H26" s="66"/>
    </row>
    <row r="27" spans="1:8" s="65" customFormat="1">
      <c r="A27" s="105" t="s">
        <v>89</v>
      </c>
      <c r="B27" s="106"/>
      <c r="C27" s="74"/>
      <c r="D27" s="74"/>
    </row>
    <row r="28" spans="1:8" s="66" customFormat="1">
      <c r="A28" s="105" t="s">
        <v>90</v>
      </c>
      <c r="B28" s="106"/>
      <c r="C28" s="74"/>
      <c r="D28" s="74"/>
      <c r="E28" s="65"/>
      <c r="F28" s="65"/>
      <c r="G28" s="65"/>
      <c r="H28" s="65"/>
    </row>
    <row r="29" spans="1:8" s="65" customFormat="1">
      <c r="A29" s="105" t="s">
        <v>91</v>
      </c>
      <c r="B29" s="106"/>
      <c r="C29" s="74"/>
      <c r="D29" s="74"/>
    </row>
    <row r="30" spans="1:8" s="65" customFormat="1">
      <c r="A30" s="107" t="s">
        <v>92</v>
      </c>
      <c r="B30" s="106"/>
      <c r="C30" s="74"/>
      <c r="D30" s="74"/>
    </row>
    <row r="31" spans="1:8" s="65" customFormat="1">
      <c r="A31" s="73" t="s">
        <v>93</v>
      </c>
      <c r="B31" s="106"/>
      <c r="C31" s="104">
        <f>SUM(C26:C30)</f>
        <v>3708.7511249999998</v>
      </c>
      <c r="D31" s="104">
        <f>SUM(D26:D30)</f>
        <v>4827.9631874999986</v>
      </c>
      <c r="E31" s="66"/>
      <c r="F31" s="66"/>
      <c r="G31" s="66"/>
      <c r="H31" s="66"/>
    </row>
    <row r="32" spans="1:8" s="65" customFormat="1">
      <c r="A32" s="105" t="s">
        <v>94</v>
      </c>
      <c r="B32" s="106"/>
      <c r="C32" s="74"/>
      <c r="D32" s="108"/>
    </row>
    <row r="33" spans="1:8" s="65" customFormat="1">
      <c r="A33" s="105" t="s">
        <v>95</v>
      </c>
      <c r="B33" s="106"/>
      <c r="C33" s="74"/>
      <c r="D33" s="108"/>
    </row>
    <row r="34" spans="1:8" s="65" customFormat="1">
      <c r="A34" s="109" t="s">
        <v>96</v>
      </c>
      <c r="B34" s="106"/>
      <c r="C34" s="110">
        <f>SUM(C31:C33)</f>
        <v>3708.7511249999998</v>
      </c>
      <c r="D34" s="110">
        <f>SUM(D31:D33)</f>
        <v>4827.9631874999986</v>
      </c>
    </row>
    <row r="35" spans="1:8">
      <c r="A35" s="75" t="s">
        <v>97</v>
      </c>
      <c r="B35" s="106"/>
      <c r="C35" s="97"/>
      <c r="D35" s="97"/>
      <c r="E35" s="65"/>
      <c r="F35" s="65"/>
      <c r="G35" s="65"/>
      <c r="H35" s="65"/>
    </row>
    <row r="36" spans="1:8">
      <c r="A36" s="109" t="s">
        <v>98</v>
      </c>
      <c r="B36" s="106"/>
      <c r="C36" s="116">
        <f>SUM(C34:C35)</f>
        <v>3708.7511249999998</v>
      </c>
      <c r="D36" s="120">
        <f>SUM(D34:D35)</f>
        <v>4827.9631874999986</v>
      </c>
      <c r="E36" s="65"/>
      <c r="F36" s="65"/>
      <c r="G36" s="65"/>
      <c r="H36" s="65"/>
    </row>
    <row r="37" spans="1:8" s="65" customFormat="1" ht="13.95" customHeight="1">
      <c r="A37" s="109" t="s">
        <v>99</v>
      </c>
      <c r="B37" s="106"/>
      <c r="C37" s="236">
        <f>SUM(C36:D36)</f>
        <v>8536.7143124999984</v>
      </c>
      <c r="D37" s="237"/>
      <c r="E37" s="111"/>
      <c r="F37" s="111"/>
      <c r="G37" s="111"/>
      <c r="H37" s="111"/>
    </row>
    <row r="38" spans="1:8" s="65" customFormat="1" ht="12.6" customHeight="1">
      <c r="A38" s="117" t="s">
        <v>101</v>
      </c>
      <c r="B38" s="118"/>
      <c r="C38" s="119">
        <f>+C37/2</f>
        <v>4268.3571562499992</v>
      </c>
      <c r="D38" s="114"/>
      <c r="E38" s="111"/>
      <c r="F38" s="111"/>
      <c r="G38" s="111"/>
      <c r="H38" s="111"/>
    </row>
    <row r="39" spans="1:8" s="65" customFormat="1" ht="12.6" customHeight="1">
      <c r="A39" s="112"/>
      <c r="B39" s="113"/>
      <c r="C39" s="114"/>
      <c r="D39" s="114"/>
      <c r="E39" s="111"/>
      <c r="F39" s="111"/>
      <c r="G39" s="111"/>
      <c r="H39" s="111"/>
    </row>
  </sheetData>
  <mergeCells count="6">
    <mergeCell ref="C37:D37"/>
    <mergeCell ref="A1:D1"/>
    <mergeCell ref="A2:D2"/>
    <mergeCell ref="A3:D3"/>
    <mergeCell ref="A4:D4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9"/>
  <sheetViews>
    <sheetView topLeftCell="A3" workbookViewId="0">
      <selection activeCell="D19" sqref="D19"/>
    </sheetView>
  </sheetViews>
  <sheetFormatPr baseColWidth="10" defaultColWidth="10.77734375" defaultRowHeight="13.2"/>
  <cols>
    <col min="1" max="1" width="43.21875" style="111" customWidth="1"/>
    <col min="2" max="2" width="11.77734375" style="111" bestFit="1" customWidth="1"/>
    <col min="3" max="3" width="21.5546875" style="115" customWidth="1"/>
    <col min="4" max="4" width="27.5546875" style="115" customWidth="1"/>
    <col min="5" max="20" width="10.77734375" style="111" customWidth="1"/>
    <col min="21" max="256" width="10.77734375" style="111"/>
    <col min="257" max="257" width="41" style="111" customWidth="1"/>
    <col min="258" max="258" width="11.77734375" style="111" bestFit="1" customWidth="1"/>
    <col min="259" max="259" width="21.5546875" style="111" customWidth="1"/>
    <col min="260" max="260" width="24.77734375" style="111" customWidth="1"/>
    <col min="261" max="276" width="10.77734375" style="111" customWidth="1"/>
    <col min="277" max="512" width="10.77734375" style="111"/>
    <col min="513" max="513" width="41" style="111" customWidth="1"/>
    <col min="514" max="514" width="11.77734375" style="111" bestFit="1" customWidth="1"/>
    <col min="515" max="515" width="21.5546875" style="111" customWidth="1"/>
    <col min="516" max="516" width="24.77734375" style="111" customWidth="1"/>
    <col min="517" max="532" width="10.77734375" style="111" customWidth="1"/>
    <col min="533" max="768" width="10.77734375" style="111"/>
    <col min="769" max="769" width="41" style="111" customWidth="1"/>
    <col min="770" max="770" width="11.77734375" style="111" bestFit="1" customWidth="1"/>
    <col min="771" max="771" width="21.5546875" style="111" customWidth="1"/>
    <col min="772" max="772" width="24.77734375" style="111" customWidth="1"/>
    <col min="773" max="788" width="10.77734375" style="111" customWidth="1"/>
    <col min="789" max="1024" width="10.77734375" style="111"/>
    <col min="1025" max="1025" width="41" style="111" customWidth="1"/>
    <col min="1026" max="1026" width="11.77734375" style="111" bestFit="1" customWidth="1"/>
    <col min="1027" max="1027" width="21.5546875" style="111" customWidth="1"/>
    <col min="1028" max="1028" width="24.77734375" style="111" customWidth="1"/>
    <col min="1029" max="1044" width="10.77734375" style="111" customWidth="1"/>
    <col min="1045" max="1280" width="10.77734375" style="111"/>
    <col min="1281" max="1281" width="41" style="111" customWidth="1"/>
    <col min="1282" max="1282" width="11.77734375" style="111" bestFit="1" customWidth="1"/>
    <col min="1283" max="1283" width="21.5546875" style="111" customWidth="1"/>
    <col min="1284" max="1284" width="24.77734375" style="111" customWidth="1"/>
    <col min="1285" max="1300" width="10.77734375" style="111" customWidth="1"/>
    <col min="1301" max="1536" width="10.77734375" style="111"/>
    <col min="1537" max="1537" width="41" style="111" customWidth="1"/>
    <col min="1538" max="1538" width="11.77734375" style="111" bestFit="1" customWidth="1"/>
    <col min="1539" max="1539" width="21.5546875" style="111" customWidth="1"/>
    <col min="1540" max="1540" width="24.77734375" style="111" customWidth="1"/>
    <col min="1541" max="1556" width="10.77734375" style="111" customWidth="1"/>
    <col min="1557" max="1792" width="10.77734375" style="111"/>
    <col min="1793" max="1793" width="41" style="111" customWidth="1"/>
    <col min="1794" max="1794" width="11.77734375" style="111" bestFit="1" customWidth="1"/>
    <col min="1795" max="1795" width="21.5546875" style="111" customWidth="1"/>
    <col min="1796" max="1796" width="24.77734375" style="111" customWidth="1"/>
    <col min="1797" max="1812" width="10.77734375" style="111" customWidth="1"/>
    <col min="1813" max="2048" width="10.77734375" style="111"/>
    <col min="2049" max="2049" width="41" style="111" customWidth="1"/>
    <col min="2050" max="2050" width="11.77734375" style="111" bestFit="1" customWidth="1"/>
    <col min="2051" max="2051" width="21.5546875" style="111" customWidth="1"/>
    <col min="2052" max="2052" width="24.77734375" style="111" customWidth="1"/>
    <col min="2053" max="2068" width="10.77734375" style="111" customWidth="1"/>
    <col min="2069" max="2304" width="10.77734375" style="111"/>
    <col min="2305" max="2305" width="41" style="111" customWidth="1"/>
    <col min="2306" max="2306" width="11.77734375" style="111" bestFit="1" customWidth="1"/>
    <col min="2307" max="2307" width="21.5546875" style="111" customWidth="1"/>
    <col min="2308" max="2308" width="24.77734375" style="111" customWidth="1"/>
    <col min="2309" max="2324" width="10.77734375" style="111" customWidth="1"/>
    <col min="2325" max="2560" width="10.77734375" style="111"/>
    <col min="2561" max="2561" width="41" style="111" customWidth="1"/>
    <col min="2562" max="2562" width="11.77734375" style="111" bestFit="1" customWidth="1"/>
    <col min="2563" max="2563" width="21.5546875" style="111" customWidth="1"/>
    <col min="2564" max="2564" width="24.77734375" style="111" customWidth="1"/>
    <col min="2565" max="2580" width="10.77734375" style="111" customWidth="1"/>
    <col min="2581" max="2816" width="10.77734375" style="111"/>
    <col min="2817" max="2817" width="41" style="111" customWidth="1"/>
    <col min="2818" max="2818" width="11.77734375" style="111" bestFit="1" customWidth="1"/>
    <col min="2819" max="2819" width="21.5546875" style="111" customWidth="1"/>
    <col min="2820" max="2820" width="24.77734375" style="111" customWidth="1"/>
    <col min="2821" max="2836" width="10.77734375" style="111" customWidth="1"/>
    <col min="2837" max="3072" width="10.77734375" style="111"/>
    <col min="3073" max="3073" width="41" style="111" customWidth="1"/>
    <col min="3074" max="3074" width="11.77734375" style="111" bestFit="1" customWidth="1"/>
    <col min="3075" max="3075" width="21.5546875" style="111" customWidth="1"/>
    <col min="3076" max="3076" width="24.77734375" style="111" customWidth="1"/>
    <col min="3077" max="3092" width="10.77734375" style="111" customWidth="1"/>
    <col min="3093" max="3328" width="10.77734375" style="111"/>
    <col min="3329" max="3329" width="41" style="111" customWidth="1"/>
    <col min="3330" max="3330" width="11.77734375" style="111" bestFit="1" customWidth="1"/>
    <col min="3331" max="3331" width="21.5546875" style="111" customWidth="1"/>
    <col min="3332" max="3332" width="24.77734375" style="111" customWidth="1"/>
    <col min="3333" max="3348" width="10.77734375" style="111" customWidth="1"/>
    <col min="3349" max="3584" width="10.77734375" style="111"/>
    <col min="3585" max="3585" width="41" style="111" customWidth="1"/>
    <col min="3586" max="3586" width="11.77734375" style="111" bestFit="1" customWidth="1"/>
    <col min="3587" max="3587" width="21.5546875" style="111" customWidth="1"/>
    <col min="3588" max="3588" width="24.77734375" style="111" customWidth="1"/>
    <col min="3589" max="3604" width="10.77734375" style="111" customWidth="1"/>
    <col min="3605" max="3840" width="10.77734375" style="111"/>
    <col min="3841" max="3841" width="41" style="111" customWidth="1"/>
    <col min="3842" max="3842" width="11.77734375" style="111" bestFit="1" customWidth="1"/>
    <col min="3843" max="3843" width="21.5546875" style="111" customWidth="1"/>
    <col min="3844" max="3844" width="24.77734375" style="111" customWidth="1"/>
    <col min="3845" max="3860" width="10.77734375" style="111" customWidth="1"/>
    <col min="3861" max="4096" width="10.77734375" style="111"/>
    <col min="4097" max="4097" width="41" style="111" customWidth="1"/>
    <col min="4098" max="4098" width="11.77734375" style="111" bestFit="1" customWidth="1"/>
    <col min="4099" max="4099" width="21.5546875" style="111" customWidth="1"/>
    <col min="4100" max="4100" width="24.77734375" style="111" customWidth="1"/>
    <col min="4101" max="4116" width="10.77734375" style="111" customWidth="1"/>
    <col min="4117" max="4352" width="10.77734375" style="111"/>
    <col min="4353" max="4353" width="41" style="111" customWidth="1"/>
    <col min="4354" max="4354" width="11.77734375" style="111" bestFit="1" customWidth="1"/>
    <col min="4355" max="4355" width="21.5546875" style="111" customWidth="1"/>
    <col min="4356" max="4356" width="24.77734375" style="111" customWidth="1"/>
    <col min="4357" max="4372" width="10.77734375" style="111" customWidth="1"/>
    <col min="4373" max="4608" width="10.77734375" style="111"/>
    <col min="4609" max="4609" width="41" style="111" customWidth="1"/>
    <col min="4610" max="4610" width="11.77734375" style="111" bestFit="1" customWidth="1"/>
    <col min="4611" max="4611" width="21.5546875" style="111" customWidth="1"/>
    <col min="4612" max="4612" width="24.77734375" style="111" customWidth="1"/>
    <col min="4613" max="4628" width="10.77734375" style="111" customWidth="1"/>
    <col min="4629" max="4864" width="10.77734375" style="111"/>
    <col min="4865" max="4865" width="41" style="111" customWidth="1"/>
    <col min="4866" max="4866" width="11.77734375" style="111" bestFit="1" customWidth="1"/>
    <col min="4867" max="4867" width="21.5546875" style="111" customWidth="1"/>
    <col min="4868" max="4868" width="24.77734375" style="111" customWidth="1"/>
    <col min="4869" max="4884" width="10.77734375" style="111" customWidth="1"/>
    <col min="4885" max="5120" width="10.77734375" style="111"/>
    <col min="5121" max="5121" width="41" style="111" customWidth="1"/>
    <col min="5122" max="5122" width="11.77734375" style="111" bestFit="1" customWidth="1"/>
    <col min="5123" max="5123" width="21.5546875" style="111" customWidth="1"/>
    <col min="5124" max="5124" width="24.77734375" style="111" customWidth="1"/>
    <col min="5125" max="5140" width="10.77734375" style="111" customWidth="1"/>
    <col min="5141" max="5376" width="10.77734375" style="111"/>
    <col min="5377" max="5377" width="41" style="111" customWidth="1"/>
    <col min="5378" max="5378" width="11.77734375" style="111" bestFit="1" customWidth="1"/>
    <col min="5379" max="5379" width="21.5546875" style="111" customWidth="1"/>
    <col min="5380" max="5380" width="24.77734375" style="111" customWidth="1"/>
    <col min="5381" max="5396" width="10.77734375" style="111" customWidth="1"/>
    <col min="5397" max="5632" width="10.77734375" style="111"/>
    <col min="5633" max="5633" width="41" style="111" customWidth="1"/>
    <col min="5634" max="5634" width="11.77734375" style="111" bestFit="1" customWidth="1"/>
    <col min="5635" max="5635" width="21.5546875" style="111" customWidth="1"/>
    <col min="5636" max="5636" width="24.77734375" style="111" customWidth="1"/>
    <col min="5637" max="5652" width="10.77734375" style="111" customWidth="1"/>
    <col min="5653" max="5888" width="10.77734375" style="111"/>
    <col min="5889" max="5889" width="41" style="111" customWidth="1"/>
    <col min="5890" max="5890" width="11.77734375" style="111" bestFit="1" customWidth="1"/>
    <col min="5891" max="5891" width="21.5546875" style="111" customWidth="1"/>
    <col min="5892" max="5892" width="24.77734375" style="111" customWidth="1"/>
    <col min="5893" max="5908" width="10.77734375" style="111" customWidth="1"/>
    <col min="5909" max="6144" width="10.77734375" style="111"/>
    <col min="6145" max="6145" width="41" style="111" customWidth="1"/>
    <col min="6146" max="6146" width="11.77734375" style="111" bestFit="1" customWidth="1"/>
    <col min="6147" max="6147" width="21.5546875" style="111" customWidth="1"/>
    <col min="6148" max="6148" width="24.77734375" style="111" customWidth="1"/>
    <col min="6149" max="6164" width="10.77734375" style="111" customWidth="1"/>
    <col min="6165" max="6400" width="10.77734375" style="111"/>
    <col min="6401" max="6401" width="41" style="111" customWidth="1"/>
    <col min="6402" max="6402" width="11.77734375" style="111" bestFit="1" customWidth="1"/>
    <col min="6403" max="6403" width="21.5546875" style="111" customWidth="1"/>
    <col min="6404" max="6404" width="24.77734375" style="111" customWidth="1"/>
    <col min="6405" max="6420" width="10.77734375" style="111" customWidth="1"/>
    <col min="6421" max="6656" width="10.77734375" style="111"/>
    <col min="6657" max="6657" width="41" style="111" customWidth="1"/>
    <col min="6658" max="6658" width="11.77734375" style="111" bestFit="1" customWidth="1"/>
    <col min="6659" max="6659" width="21.5546875" style="111" customWidth="1"/>
    <col min="6660" max="6660" width="24.77734375" style="111" customWidth="1"/>
    <col min="6661" max="6676" width="10.77734375" style="111" customWidth="1"/>
    <col min="6677" max="6912" width="10.77734375" style="111"/>
    <col min="6913" max="6913" width="41" style="111" customWidth="1"/>
    <col min="6914" max="6914" width="11.77734375" style="111" bestFit="1" customWidth="1"/>
    <col min="6915" max="6915" width="21.5546875" style="111" customWidth="1"/>
    <col min="6916" max="6916" width="24.77734375" style="111" customWidth="1"/>
    <col min="6917" max="6932" width="10.77734375" style="111" customWidth="1"/>
    <col min="6933" max="7168" width="10.77734375" style="111"/>
    <col min="7169" max="7169" width="41" style="111" customWidth="1"/>
    <col min="7170" max="7170" width="11.77734375" style="111" bestFit="1" customWidth="1"/>
    <col min="7171" max="7171" width="21.5546875" style="111" customWidth="1"/>
    <col min="7172" max="7172" width="24.77734375" style="111" customWidth="1"/>
    <col min="7173" max="7188" width="10.77734375" style="111" customWidth="1"/>
    <col min="7189" max="7424" width="10.77734375" style="111"/>
    <col min="7425" max="7425" width="41" style="111" customWidth="1"/>
    <col min="7426" max="7426" width="11.77734375" style="111" bestFit="1" customWidth="1"/>
    <col min="7427" max="7427" width="21.5546875" style="111" customWidth="1"/>
    <col min="7428" max="7428" width="24.77734375" style="111" customWidth="1"/>
    <col min="7429" max="7444" width="10.77734375" style="111" customWidth="1"/>
    <col min="7445" max="7680" width="10.77734375" style="111"/>
    <col min="7681" max="7681" width="41" style="111" customWidth="1"/>
    <col min="7682" max="7682" width="11.77734375" style="111" bestFit="1" customWidth="1"/>
    <col min="7683" max="7683" width="21.5546875" style="111" customWidth="1"/>
    <col min="7684" max="7684" width="24.77734375" style="111" customWidth="1"/>
    <col min="7685" max="7700" width="10.77734375" style="111" customWidth="1"/>
    <col min="7701" max="7936" width="10.77734375" style="111"/>
    <col min="7937" max="7937" width="41" style="111" customWidth="1"/>
    <col min="7938" max="7938" width="11.77734375" style="111" bestFit="1" customWidth="1"/>
    <col min="7939" max="7939" width="21.5546875" style="111" customWidth="1"/>
    <col min="7940" max="7940" width="24.77734375" style="111" customWidth="1"/>
    <col min="7941" max="7956" width="10.77734375" style="111" customWidth="1"/>
    <col min="7957" max="8192" width="10.77734375" style="111"/>
    <col min="8193" max="8193" width="41" style="111" customWidth="1"/>
    <col min="8194" max="8194" width="11.77734375" style="111" bestFit="1" customWidth="1"/>
    <col min="8195" max="8195" width="21.5546875" style="111" customWidth="1"/>
    <col min="8196" max="8196" width="24.77734375" style="111" customWidth="1"/>
    <col min="8197" max="8212" width="10.77734375" style="111" customWidth="1"/>
    <col min="8213" max="8448" width="10.77734375" style="111"/>
    <col min="8449" max="8449" width="41" style="111" customWidth="1"/>
    <col min="8450" max="8450" width="11.77734375" style="111" bestFit="1" customWidth="1"/>
    <col min="8451" max="8451" width="21.5546875" style="111" customWidth="1"/>
    <col min="8452" max="8452" width="24.77734375" style="111" customWidth="1"/>
    <col min="8453" max="8468" width="10.77734375" style="111" customWidth="1"/>
    <col min="8469" max="8704" width="10.77734375" style="111"/>
    <col min="8705" max="8705" width="41" style="111" customWidth="1"/>
    <col min="8706" max="8706" width="11.77734375" style="111" bestFit="1" customWidth="1"/>
    <col min="8707" max="8707" width="21.5546875" style="111" customWidth="1"/>
    <col min="8708" max="8708" width="24.77734375" style="111" customWidth="1"/>
    <col min="8709" max="8724" width="10.77734375" style="111" customWidth="1"/>
    <col min="8725" max="8960" width="10.77734375" style="111"/>
    <col min="8961" max="8961" width="41" style="111" customWidth="1"/>
    <col min="8962" max="8962" width="11.77734375" style="111" bestFit="1" customWidth="1"/>
    <col min="8963" max="8963" width="21.5546875" style="111" customWidth="1"/>
    <col min="8964" max="8964" width="24.77734375" style="111" customWidth="1"/>
    <col min="8965" max="8980" width="10.77734375" style="111" customWidth="1"/>
    <col min="8981" max="9216" width="10.77734375" style="111"/>
    <col min="9217" max="9217" width="41" style="111" customWidth="1"/>
    <col min="9218" max="9218" width="11.77734375" style="111" bestFit="1" customWidth="1"/>
    <col min="9219" max="9219" width="21.5546875" style="111" customWidth="1"/>
    <col min="9220" max="9220" width="24.77734375" style="111" customWidth="1"/>
    <col min="9221" max="9236" width="10.77734375" style="111" customWidth="1"/>
    <col min="9237" max="9472" width="10.77734375" style="111"/>
    <col min="9473" max="9473" width="41" style="111" customWidth="1"/>
    <col min="9474" max="9474" width="11.77734375" style="111" bestFit="1" customWidth="1"/>
    <col min="9475" max="9475" width="21.5546875" style="111" customWidth="1"/>
    <col min="9476" max="9476" width="24.77734375" style="111" customWidth="1"/>
    <col min="9477" max="9492" width="10.77734375" style="111" customWidth="1"/>
    <col min="9493" max="9728" width="10.77734375" style="111"/>
    <col min="9729" max="9729" width="41" style="111" customWidth="1"/>
    <col min="9730" max="9730" width="11.77734375" style="111" bestFit="1" customWidth="1"/>
    <col min="9731" max="9731" width="21.5546875" style="111" customWidth="1"/>
    <col min="9732" max="9732" width="24.77734375" style="111" customWidth="1"/>
    <col min="9733" max="9748" width="10.77734375" style="111" customWidth="1"/>
    <col min="9749" max="9984" width="10.77734375" style="111"/>
    <col min="9985" max="9985" width="41" style="111" customWidth="1"/>
    <col min="9986" max="9986" width="11.77734375" style="111" bestFit="1" customWidth="1"/>
    <col min="9987" max="9987" width="21.5546875" style="111" customWidth="1"/>
    <col min="9988" max="9988" width="24.77734375" style="111" customWidth="1"/>
    <col min="9989" max="10004" width="10.77734375" style="111" customWidth="1"/>
    <col min="10005" max="10240" width="10.77734375" style="111"/>
    <col min="10241" max="10241" width="41" style="111" customWidth="1"/>
    <col min="10242" max="10242" width="11.77734375" style="111" bestFit="1" customWidth="1"/>
    <col min="10243" max="10243" width="21.5546875" style="111" customWidth="1"/>
    <col min="10244" max="10244" width="24.77734375" style="111" customWidth="1"/>
    <col min="10245" max="10260" width="10.77734375" style="111" customWidth="1"/>
    <col min="10261" max="10496" width="10.77734375" style="111"/>
    <col min="10497" max="10497" width="41" style="111" customWidth="1"/>
    <col min="10498" max="10498" width="11.77734375" style="111" bestFit="1" customWidth="1"/>
    <col min="10499" max="10499" width="21.5546875" style="111" customWidth="1"/>
    <col min="10500" max="10500" width="24.77734375" style="111" customWidth="1"/>
    <col min="10501" max="10516" width="10.77734375" style="111" customWidth="1"/>
    <col min="10517" max="10752" width="10.77734375" style="111"/>
    <col min="10753" max="10753" width="41" style="111" customWidth="1"/>
    <col min="10754" max="10754" width="11.77734375" style="111" bestFit="1" customWidth="1"/>
    <col min="10755" max="10755" width="21.5546875" style="111" customWidth="1"/>
    <col min="10756" max="10756" width="24.77734375" style="111" customWidth="1"/>
    <col min="10757" max="10772" width="10.77734375" style="111" customWidth="1"/>
    <col min="10773" max="11008" width="10.77734375" style="111"/>
    <col min="11009" max="11009" width="41" style="111" customWidth="1"/>
    <col min="11010" max="11010" width="11.77734375" style="111" bestFit="1" customWidth="1"/>
    <col min="11011" max="11011" width="21.5546875" style="111" customWidth="1"/>
    <col min="11012" max="11012" width="24.77734375" style="111" customWidth="1"/>
    <col min="11013" max="11028" width="10.77734375" style="111" customWidth="1"/>
    <col min="11029" max="11264" width="10.77734375" style="111"/>
    <col min="11265" max="11265" width="41" style="111" customWidth="1"/>
    <col min="11266" max="11266" width="11.77734375" style="111" bestFit="1" customWidth="1"/>
    <col min="11267" max="11267" width="21.5546875" style="111" customWidth="1"/>
    <col min="11268" max="11268" width="24.77734375" style="111" customWidth="1"/>
    <col min="11269" max="11284" width="10.77734375" style="111" customWidth="1"/>
    <col min="11285" max="11520" width="10.77734375" style="111"/>
    <col min="11521" max="11521" width="41" style="111" customWidth="1"/>
    <col min="11522" max="11522" width="11.77734375" style="111" bestFit="1" customWidth="1"/>
    <col min="11523" max="11523" width="21.5546875" style="111" customWidth="1"/>
    <col min="11524" max="11524" width="24.77734375" style="111" customWidth="1"/>
    <col min="11525" max="11540" width="10.77734375" style="111" customWidth="1"/>
    <col min="11541" max="11776" width="10.77734375" style="111"/>
    <col min="11777" max="11777" width="41" style="111" customWidth="1"/>
    <col min="11778" max="11778" width="11.77734375" style="111" bestFit="1" customWidth="1"/>
    <col min="11779" max="11779" width="21.5546875" style="111" customWidth="1"/>
    <col min="11780" max="11780" width="24.77734375" style="111" customWidth="1"/>
    <col min="11781" max="11796" width="10.77734375" style="111" customWidth="1"/>
    <col min="11797" max="12032" width="10.77734375" style="111"/>
    <col min="12033" max="12033" width="41" style="111" customWidth="1"/>
    <col min="12034" max="12034" width="11.77734375" style="111" bestFit="1" customWidth="1"/>
    <col min="12035" max="12035" width="21.5546875" style="111" customWidth="1"/>
    <col min="12036" max="12036" width="24.77734375" style="111" customWidth="1"/>
    <col min="12037" max="12052" width="10.77734375" style="111" customWidth="1"/>
    <col min="12053" max="12288" width="10.77734375" style="111"/>
    <col min="12289" max="12289" width="41" style="111" customWidth="1"/>
    <col min="12290" max="12290" width="11.77734375" style="111" bestFit="1" customWidth="1"/>
    <col min="12291" max="12291" width="21.5546875" style="111" customWidth="1"/>
    <col min="12292" max="12292" width="24.77734375" style="111" customWidth="1"/>
    <col min="12293" max="12308" width="10.77734375" style="111" customWidth="1"/>
    <col min="12309" max="12544" width="10.77734375" style="111"/>
    <col min="12545" max="12545" width="41" style="111" customWidth="1"/>
    <col min="12546" max="12546" width="11.77734375" style="111" bestFit="1" customWidth="1"/>
    <col min="12547" max="12547" width="21.5546875" style="111" customWidth="1"/>
    <col min="12548" max="12548" width="24.77734375" style="111" customWidth="1"/>
    <col min="12549" max="12564" width="10.77734375" style="111" customWidth="1"/>
    <col min="12565" max="12800" width="10.77734375" style="111"/>
    <col min="12801" max="12801" width="41" style="111" customWidth="1"/>
    <col min="12802" max="12802" width="11.77734375" style="111" bestFit="1" customWidth="1"/>
    <col min="12803" max="12803" width="21.5546875" style="111" customWidth="1"/>
    <col min="12804" max="12804" width="24.77734375" style="111" customWidth="1"/>
    <col min="12805" max="12820" width="10.77734375" style="111" customWidth="1"/>
    <col min="12821" max="13056" width="10.77734375" style="111"/>
    <col min="13057" max="13057" width="41" style="111" customWidth="1"/>
    <col min="13058" max="13058" width="11.77734375" style="111" bestFit="1" customWidth="1"/>
    <col min="13059" max="13059" width="21.5546875" style="111" customWidth="1"/>
    <col min="13060" max="13060" width="24.77734375" style="111" customWidth="1"/>
    <col min="13061" max="13076" width="10.77734375" style="111" customWidth="1"/>
    <col min="13077" max="13312" width="10.77734375" style="111"/>
    <col min="13313" max="13313" width="41" style="111" customWidth="1"/>
    <col min="13314" max="13314" width="11.77734375" style="111" bestFit="1" customWidth="1"/>
    <col min="13315" max="13315" width="21.5546875" style="111" customWidth="1"/>
    <col min="13316" max="13316" width="24.77734375" style="111" customWidth="1"/>
    <col min="13317" max="13332" width="10.77734375" style="111" customWidth="1"/>
    <col min="13333" max="13568" width="10.77734375" style="111"/>
    <col min="13569" max="13569" width="41" style="111" customWidth="1"/>
    <col min="13570" max="13570" width="11.77734375" style="111" bestFit="1" customWidth="1"/>
    <col min="13571" max="13571" width="21.5546875" style="111" customWidth="1"/>
    <col min="13572" max="13572" width="24.77734375" style="111" customWidth="1"/>
    <col min="13573" max="13588" width="10.77734375" style="111" customWidth="1"/>
    <col min="13589" max="13824" width="10.77734375" style="111"/>
    <col min="13825" max="13825" width="41" style="111" customWidth="1"/>
    <col min="13826" max="13826" width="11.77734375" style="111" bestFit="1" customWidth="1"/>
    <col min="13827" max="13827" width="21.5546875" style="111" customWidth="1"/>
    <col min="13828" max="13828" width="24.77734375" style="111" customWidth="1"/>
    <col min="13829" max="13844" width="10.77734375" style="111" customWidth="1"/>
    <col min="13845" max="14080" width="10.77734375" style="111"/>
    <col min="14081" max="14081" width="41" style="111" customWidth="1"/>
    <col min="14082" max="14082" width="11.77734375" style="111" bestFit="1" customWidth="1"/>
    <col min="14083" max="14083" width="21.5546875" style="111" customWidth="1"/>
    <col min="14084" max="14084" width="24.77734375" style="111" customWidth="1"/>
    <col min="14085" max="14100" width="10.77734375" style="111" customWidth="1"/>
    <col min="14101" max="14336" width="10.77734375" style="111"/>
    <col min="14337" max="14337" width="41" style="111" customWidth="1"/>
    <col min="14338" max="14338" width="11.77734375" style="111" bestFit="1" customWidth="1"/>
    <col min="14339" max="14339" width="21.5546875" style="111" customWidth="1"/>
    <col min="14340" max="14340" width="24.77734375" style="111" customWidth="1"/>
    <col min="14341" max="14356" width="10.77734375" style="111" customWidth="1"/>
    <col min="14357" max="14592" width="10.77734375" style="111"/>
    <col min="14593" max="14593" width="41" style="111" customWidth="1"/>
    <col min="14594" max="14594" width="11.77734375" style="111" bestFit="1" customWidth="1"/>
    <col min="14595" max="14595" width="21.5546875" style="111" customWidth="1"/>
    <col min="14596" max="14596" width="24.77734375" style="111" customWidth="1"/>
    <col min="14597" max="14612" width="10.77734375" style="111" customWidth="1"/>
    <col min="14613" max="14848" width="10.77734375" style="111"/>
    <col min="14849" max="14849" width="41" style="111" customWidth="1"/>
    <col min="14850" max="14850" width="11.77734375" style="111" bestFit="1" customWidth="1"/>
    <col min="14851" max="14851" width="21.5546875" style="111" customWidth="1"/>
    <col min="14852" max="14852" width="24.77734375" style="111" customWidth="1"/>
    <col min="14853" max="14868" width="10.77734375" style="111" customWidth="1"/>
    <col min="14869" max="15104" width="10.77734375" style="111"/>
    <col min="15105" max="15105" width="41" style="111" customWidth="1"/>
    <col min="15106" max="15106" width="11.77734375" style="111" bestFit="1" customWidth="1"/>
    <col min="15107" max="15107" width="21.5546875" style="111" customWidth="1"/>
    <col min="15108" max="15108" width="24.77734375" style="111" customWidth="1"/>
    <col min="15109" max="15124" width="10.77734375" style="111" customWidth="1"/>
    <col min="15125" max="15360" width="10.77734375" style="111"/>
    <col min="15361" max="15361" width="41" style="111" customWidth="1"/>
    <col min="15362" max="15362" width="11.77734375" style="111" bestFit="1" customWidth="1"/>
    <col min="15363" max="15363" width="21.5546875" style="111" customWidth="1"/>
    <col min="15364" max="15364" width="24.77734375" style="111" customWidth="1"/>
    <col min="15365" max="15380" width="10.77734375" style="111" customWidth="1"/>
    <col min="15381" max="15616" width="10.77734375" style="111"/>
    <col min="15617" max="15617" width="41" style="111" customWidth="1"/>
    <col min="15618" max="15618" width="11.77734375" style="111" bestFit="1" customWidth="1"/>
    <col min="15619" max="15619" width="21.5546875" style="111" customWidth="1"/>
    <col min="15620" max="15620" width="24.77734375" style="111" customWidth="1"/>
    <col min="15621" max="15636" width="10.77734375" style="111" customWidth="1"/>
    <col min="15637" max="15872" width="10.77734375" style="111"/>
    <col min="15873" max="15873" width="41" style="111" customWidth="1"/>
    <col min="15874" max="15874" width="11.77734375" style="111" bestFit="1" customWidth="1"/>
    <col min="15875" max="15875" width="21.5546875" style="111" customWidth="1"/>
    <col min="15876" max="15876" width="24.77734375" style="111" customWidth="1"/>
    <col min="15877" max="15892" width="10.77734375" style="111" customWidth="1"/>
    <col min="15893" max="16128" width="10.77734375" style="111"/>
    <col min="16129" max="16129" width="41" style="111" customWidth="1"/>
    <col min="16130" max="16130" width="11.77734375" style="111" bestFit="1" customWidth="1"/>
    <col min="16131" max="16131" width="21.5546875" style="111" customWidth="1"/>
    <col min="16132" max="16132" width="24.77734375" style="111" customWidth="1"/>
    <col min="16133" max="16148" width="10.77734375" style="111" customWidth="1"/>
    <col min="16149" max="16384" width="10.77734375" style="111"/>
  </cols>
  <sheetData>
    <row r="1" spans="1:8" s="65" customFormat="1" ht="18" customHeight="1">
      <c r="A1" s="238" t="s">
        <v>61</v>
      </c>
      <c r="B1" s="238"/>
      <c r="C1" s="238"/>
      <c r="D1" s="238"/>
      <c r="E1" s="64"/>
      <c r="F1" s="64"/>
      <c r="G1" s="64"/>
      <c r="H1" s="64"/>
    </row>
    <row r="2" spans="1:8" s="65" customFormat="1" ht="15.6">
      <c r="A2" s="239" t="s">
        <v>62</v>
      </c>
      <c r="B2" s="239"/>
      <c r="C2" s="239"/>
      <c r="D2" s="239"/>
    </row>
    <row r="3" spans="1:8" s="65" customFormat="1" ht="15" customHeight="1">
      <c r="A3" s="240" t="s">
        <v>63</v>
      </c>
      <c r="B3" s="240"/>
      <c r="C3" s="240"/>
      <c r="D3" s="240"/>
    </row>
    <row r="4" spans="1:8" s="66" customFormat="1" ht="15" customHeight="1">
      <c r="A4" s="241" t="s">
        <v>64</v>
      </c>
      <c r="B4" s="241"/>
      <c r="C4" s="241"/>
      <c r="D4" s="241"/>
      <c r="E4" s="65"/>
      <c r="F4" s="65"/>
      <c r="G4" s="65"/>
      <c r="H4" s="65"/>
    </row>
    <row r="5" spans="1:8" s="66" customFormat="1">
      <c r="C5" s="242" t="s">
        <v>159</v>
      </c>
      <c r="D5" s="243"/>
    </row>
    <row r="6" spans="1:8" s="66" customFormat="1">
      <c r="A6" s="67" t="s">
        <v>65</v>
      </c>
      <c r="B6" s="68" t="s">
        <v>66</v>
      </c>
      <c r="C6" s="69" t="s">
        <v>67</v>
      </c>
      <c r="D6" s="69" t="s">
        <v>68</v>
      </c>
    </row>
    <row r="7" spans="1:8" s="65" customFormat="1">
      <c r="A7" s="70" t="s">
        <v>69</v>
      </c>
      <c r="B7" s="67"/>
      <c r="C7" s="71"/>
      <c r="D7" s="71"/>
      <c r="E7" s="66"/>
      <c r="F7" s="66"/>
      <c r="G7" s="66"/>
      <c r="H7" s="66"/>
    </row>
    <row r="8" spans="1:8" s="65" customFormat="1">
      <c r="A8" s="72" t="s">
        <v>70</v>
      </c>
      <c r="B8" s="73"/>
      <c r="C8" s="123">
        <v>1300</v>
      </c>
      <c r="D8" s="123">
        <v>1300</v>
      </c>
      <c r="E8" s="66"/>
      <c r="F8" s="66"/>
      <c r="G8" s="66"/>
      <c r="H8" s="66"/>
    </row>
    <row r="9" spans="1:8" s="65" customFormat="1">
      <c r="A9" s="75" t="s">
        <v>71</v>
      </c>
      <c r="B9" s="76">
        <v>10</v>
      </c>
      <c r="C9" s="77">
        <f>0.1*C8</f>
        <v>130</v>
      </c>
      <c r="D9" s="77">
        <f>0.1*D8</f>
        <v>130</v>
      </c>
    </row>
    <row r="10" spans="1:8" s="65" customFormat="1">
      <c r="A10" s="78" t="s">
        <v>72</v>
      </c>
      <c r="B10" s="79"/>
      <c r="C10" s="80"/>
      <c r="D10" s="81"/>
    </row>
    <row r="11" spans="1:8" s="65" customFormat="1" ht="22.5" customHeight="1">
      <c r="A11" s="78" t="s">
        <v>73</v>
      </c>
      <c r="B11" s="76">
        <v>35</v>
      </c>
      <c r="C11" s="82">
        <v>0</v>
      </c>
      <c r="D11" s="77">
        <f>D8*0.35</f>
        <v>454.99999999999994</v>
      </c>
    </row>
    <row r="12" spans="1:8" s="65" customFormat="1">
      <c r="A12" s="75" t="s">
        <v>74</v>
      </c>
      <c r="B12" s="76">
        <v>25</v>
      </c>
      <c r="C12" s="77">
        <f>(((C8+C9)/30)/8)*1.25*2*20</f>
        <v>297.91666666666663</v>
      </c>
      <c r="D12" s="77">
        <f>(((D8+D9+D11)/30)/8)*1.25*2*20</f>
        <v>392.70833333333337</v>
      </c>
    </row>
    <row r="13" spans="1:8" s="65" customFormat="1" ht="13.8" thickBot="1">
      <c r="A13" s="83" t="s">
        <v>75</v>
      </c>
      <c r="B13" s="84">
        <v>35</v>
      </c>
      <c r="C13" s="85">
        <f>(((C8+C9)/30)/8)*1.35*2*20</f>
        <v>321.75</v>
      </c>
      <c r="D13" s="85">
        <f>(((D8+D9+D11)/30)/8)*1.35*2*20</f>
        <v>424.125</v>
      </c>
    </row>
    <row r="14" spans="1:8" s="65" customFormat="1" ht="13.8" thickBot="1">
      <c r="A14" s="86" t="s">
        <v>76</v>
      </c>
      <c r="B14" s="87"/>
      <c r="C14" s="88">
        <f>SUM(C8:C13)</f>
        <v>2049.6666666666665</v>
      </c>
      <c r="D14" s="89">
        <f>SUM(D8:D13)</f>
        <v>2701.8333333333335</v>
      </c>
      <c r="E14" s="90"/>
    </row>
    <row r="15" spans="1:8" s="65" customFormat="1">
      <c r="A15" s="91" t="s">
        <v>77</v>
      </c>
      <c r="B15" s="92"/>
      <c r="C15" s="93">
        <f>+((C8/30)/8*2)*12</f>
        <v>130</v>
      </c>
      <c r="D15" s="93">
        <f>+((D8/30)/8*2)*12</f>
        <v>130</v>
      </c>
    </row>
    <row r="16" spans="1:8" s="65" customFormat="1" ht="24.75" customHeight="1" thickBot="1">
      <c r="A16" s="83" t="s">
        <v>78</v>
      </c>
      <c r="B16" s="84"/>
      <c r="C16" s="94">
        <f>+C14/6</f>
        <v>341.61111111111109</v>
      </c>
      <c r="D16" s="94">
        <f>+D14/6</f>
        <v>450.3055555555556</v>
      </c>
    </row>
    <row r="17" spans="1:8" s="65" customFormat="1" ht="13.8" thickBot="1">
      <c r="A17" s="86" t="s">
        <v>79</v>
      </c>
      <c r="B17" s="95"/>
      <c r="C17" s="88">
        <f>SUM(C14:C16)</f>
        <v>2521.2777777777774</v>
      </c>
      <c r="D17" s="89">
        <f>SUM(D14:D16)</f>
        <v>3282.1388888888891</v>
      </c>
    </row>
    <row r="18" spans="1:8" s="65" customFormat="1" ht="20.399999999999999">
      <c r="A18" s="96" t="s">
        <v>80</v>
      </c>
      <c r="B18" s="92">
        <v>8.33</v>
      </c>
      <c r="C18" s="93">
        <f>+C17*$B$18/100/2</f>
        <v>105.01121944444444</v>
      </c>
      <c r="D18" s="93">
        <f>+D17*$B$18/100/2</f>
        <v>136.70108472222225</v>
      </c>
    </row>
    <row r="19" spans="1:8" s="65" customFormat="1" ht="20.399999999999999">
      <c r="A19" s="78" t="s">
        <v>81</v>
      </c>
      <c r="B19" s="76">
        <v>16.670000000000002</v>
      </c>
      <c r="C19" s="97">
        <f>+C17*$B$19/100/2</f>
        <v>210.14850277777776</v>
      </c>
      <c r="D19" s="97">
        <f>+D17*$B$19/100/2</f>
        <v>273.56627638888892</v>
      </c>
    </row>
    <row r="20" spans="1:8" s="65" customFormat="1">
      <c r="A20" s="98" t="s">
        <v>82</v>
      </c>
      <c r="B20" s="99">
        <v>9</v>
      </c>
      <c r="C20" s="100">
        <f>+C19*$B$20/100</f>
        <v>18.913365249999998</v>
      </c>
      <c r="D20" s="100">
        <f>+D19*$B$20/100</f>
        <v>24.620964875000006</v>
      </c>
    </row>
    <row r="21" spans="1:8" s="65" customFormat="1" ht="13.8" thickBot="1">
      <c r="A21" s="101" t="s">
        <v>83</v>
      </c>
      <c r="B21" s="84">
        <v>9.7200000000000006</v>
      </c>
      <c r="C21" s="94">
        <f>+C17*$B$21/100/2</f>
        <v>122.53409999999998</v>
      </c>
      <c r="D21" s="94">
        <f>+D17*$B$21/100/2</f>
        <v>159.51195000000001</v>
      </c>
    </row>
    <row r="22" spans="1:8" s="65" customFormat="1" ht="13.8" thickBot="1">
      <c r="A22" s="86" t="s">
        <v>84</v>
      </c>
      <c r="B22" s="87"/>
      <c r="C22" s="88">
        <f>SUM(C17:C21)</f>
        <v>2977.8849652499994</v>
      </c>
      <c r="D22" s="88">
        <f>SUM(D17:D21)</f>
        <v>3876.5391648750006</v>
      </c>
    </row>
    <row r="23" spans="1:8" s="65" customFormat="1">
      <c r="A23" s="102" t="s">
        <v>85</v>
      </c>
      <c r="B23" s="92"/>
      <c r="C23" s="103"/>
      <c r="D23" s="103"/>
    </row>
    <row r="24" spans="1:8" s="66" customFormat="1">
      <c r="A24" s="75" t="s">
        <v>86</v>
      </c>
      <c r="B24" s="76">
        <v>9</v>
      </c>
      <c r="C24" s="97">
        <f>+(C17+C18)*$B$24/100</f>
        <v>236.36600974999999</v>
      </c>
      <c r="D24" s="97">
        <f>+(D17+D18)*$B$24/100</f>
        <v>307.695597625</v>
      </c>
      <c r="E24" s="65"/>
      <c r="F24" s="65"/>
      <c r="G24" s="65"/>
      <c r="H24" s="65"/>
    </row>
    <row r="25" spans="1:8" s="65" customFormat="1">
      <c r="A25" s="78" t="s">
        <v>87</v>
      </c>
      <c r="B25" s="76">
        <v>1.5</v>
      </c>
      <c r="C25" s="97"/>
      <c r="D25" s="97"/>
    </row>
    <row r="26" spans="1:8" s="65" customFormat="1">
      <c r="A26" s="70" t="s">
        <v>88</v>
      </c>
      <c r="B26" s="70"/>
      <c r="C26" s="104">
        <f>SUM(C22:C25)</f>
        <v>3214.2509749999995</v>
      </c>
      <c r="D26" s="104">
        <f>SUM(D22:D25)</f>
        <v>4184.2347625000002</v>
      </c>
      <c r="E26" s="66"/>
      <c r="F26" s="66"/>
      <c r="G26" s="66"/>
      <c r="H26" s="66"/>
    </row>
    <row r="27" spans="1:8" s="65" customFormat="1">
      <c r="A27" s="105" t="s">
        <v>89</v>
      </c>
      <c r="B27" s="106"/>
      <c r="C27" s="74"/>
      <c r="D27" s="74"/>
    </row>
    <row r="28" spans="1:8" s="66" customFormat="1">
      <c r="A28" s="105" t="s">
        <v>90</v>
      </c>
      <c r="B28" s="106"/>
      <c r="C28" s="74"/>
      <c r="D28" s="74"/>
      <c r="E28" s="65"/>
      <c r="F28" s="65"/>
      <c r="G28" s="65"/>
      <c r="H28" s="65"/>
    </row>
    <row r="29" spans="1:8" s="65" customFormat="1">
      <c r="A29" s="105" t="s">
        <v>91</v>
      </c>
      <c r="B29" s="106"/>
      <c r="C29" s="74"/>
      <c r="D29" s="74"/>
    </row>
    <row r="30" spans="1:8" s="65" customFormat="1">
      <c r="A30" s="107" t="s">
        <v>92</v>
      </c>
      <c r="B30" s="106"/>
      <c r="C30" s="74"/>
      <c r="D30" s="74"/>
    </row>
    <row r="31" spans="1:8" s="65" customFormat="1">
      <c r="A31" s="73" t="s">
        <v>93</v>
      </c>
      <c r="B31" s="106"/>
      <c r="C31" s="104">
        <f>SUM(C26:C30)</f>
        <v>3214.2509749999995</v>
      </c>
      <c r="D31" s="104">
        <f>SUM(D26:D30)</f>
        <v>4184.2347625000002</v>
      </c>
      <c r="E31" s="66"/>
      <c r="F31" s="66"/>
      <c r="G31" s="66"/>
      <c r="H31" s="66"/>
    </row>
    <row r="32" spans="1:8" s="65" customFormat="1">
      <c r="A32" s="105" t="s">
        <v>94</v>
      </c>
      <c r="B32" s="106"/>
      <c r="C32" s="74"/>
      <c r="D32" s="108"/>
    </row>
    <row r="33" spans="1:8" s="65" customFormat="1">
      <c r="A33" s="105" t="s">
        <v>95</v>
      </c>
      <c r="B33" s="106"/>
      <c r="C33" s="74"/>
      <c r="D33" s="108"/>
    </row>
    <row r="34" spans="1:8" s="65" customFormat="1">
      <c r="A34" s="109" t="s">
        <v>96</v>
      </c>
      <c r="B34" s="106"/>
      <c r="C34" s="110">
        <f>SUM(C31:C33)</f>
        <v>3214.2509749999995</v>
      </c>
      <c r="D34" s="110">
        <f>SUM(D31:D33)</f>
        <v>4184.2347625000002</v>
      </c>
    </row>
    <row r="35" spans="1:8">
      <c r="A35" s="75" t="s">
        <v>97</v>
      </c>
      <c r="B35" s="106"/>
      <c r="C35" s="97"/>
      <c r="D35" s="97"/>
      <c r="E35" s="65"/>
      <c r="F35" s="65"/>
      <c r="G35" s="65"/>
      <c r="H35" s="65"/>
    </row>
    <row r="36" spans="1:8">
      <c r="A36" s="109" t="s">
        <v>98</v>
      </c>
      <c r="B36" s="106"/>
      <c r="C36" s="116">
        <f>SUM(C34:C35)</f>
        <v>3214.2509749999995</v>
      </c>
      <c r="D36" s="116">
        <f>SUM(D34:D35)</f>
        <v>4184.2347625000002</v>
      </c>
      <c r="E36" s="65"/>
      <c r="F36" s="65"/>
      <c r="G36" s="65"/>
      <c r="H36" s="65"/>
    </row>
    <row r="37" spans="1:8" s="65" customFormat="1" ht="13.95" customHeight="1">
      <c r="A37" s="109" t="s">
        <v>99</v>
      </c>
      <c r="B37" s="106"/>
      <c r="C37" s="236">
        <f>SUM(C36:D36)</f>
        <v>7398.4857374999992</v>
      </c>
      <c r="D37" s="237"/>
      <c r="E37" s="111"/>
      <c r="F37" s="111"/>
      <c r="G37" s="111"/>
      <c r="H37" s="111"/>
    </row>
    <row r="38" spans="1:8" s="65" customFormat="1" ht="12.6" customHeight="1">
      <c r="A38" s="121" t="s">
        <v>101</v>
      </c>
      <c r="B38" s="118"/>
      <c r="C38" s="122">
        <f>+C37/2</f>
        <v>3699.2428687499996</v>
      </c>
      <c r="D38" s="114"/>
      <c r="E38" s="111"/>
      <c r="F38" s="111"/>
      <c r="G38" s="111"/>
      <c r="H38" s="111"/>
    </row>
    <row r="39" spans="1:8" s="65" customFormat="1" ht="12.6" customHeight="1">
      <c r="A39" s="112"/>
      <c r="B39" s="113"/>
      <c r="C39" s="114"/>
      <c r="D39" s="114"/>
      <c r="E39" s="111"/>
      <c r="F39" s="111"/>
      <c r="G39" s="111"/>
      <c r="H39" s="111"/>
    </row>
  </sheetData>
  <mergeCells count="6">
    <mergeCell ref="C37:D37"/>
    <mergeCell ref="A1:D1"/>
    <mergeCell ref="A2:D2"/>
    <mergeCell ref="A3:D3"/>
    <mergeCell ref="A4:D4"/>
    <mergeCell ref="C5:D5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39"/>
  <sheetViews>
    <sheetView workbookViewId="0">
      <selection activeCell="D26" sqref="D26"/>
    </sheetView>
  </sheetViews>
  <sheetFormatPr baseColWidth="10" defaultColWidth="10.77734375" defaultRowHeight="13.2"/>
  <cols>
    <col min="1" max="1" width="43.21875" style="111" customWidth="1"/>
    <col min="2" max="2" width="11.77734375" style="111" bestFit="1" customWidth="1"/>
    <col min="3" max="3" width="21.5546875" style="115" customWidth="1"/>
    <col min="4" max="4" width="27.5546875" style="115" customWidth="1"/>
    <col min="5" max="20" width="10.77734375" style="111" customWidth="1"/>
    <col min="21" max="256" width="10.77734375" style="111"/>
    <col min="257" max="257" width="41" style="111" customWidth="1"/>
    <col min="258" max="258" width="11.77734375" style="111" bestFit="1" customWidth="1"/>
    <col min="259" max="259" width="21.5546875" style="111" customWidth="1"/>
    <col min="260" max="260" width="24.77734375" style="111" customWidth="1"/>
    <col min="261" max="276" width="10.77734375" style="111" customWidth="1"/>
    <col min="277" max="512" width="10.77734375" style="111"/>
    <col min="513" max="513" width="41" style="111" customWidth="1"/>
    <col min="514" max="514" width="11.77734375" style="111" bestFit="1" customWidth="1"/>
    <col min="515" max="515" width="21.5546875" style="111" customWidth="1"/>
    <col min="516" max="516" width="24.77734375" style="111" customWidth="1"/>
    <col min="517" max="532" width="10.77734375" style="111" customWidth="1"/>
    <col min="533" max="768" width="10.77734375" style="111"/>
    <col min="769" max="769" width="41" style="111" customWidth="1"/>
    <col min="770" max="770" width="11.77734375" style="111" bestFit="1" customWidth="1"/>
    <col min="771" max="771" width="21.5546875" style="111" customWidth="1"/>
    <col min="772" max="772" width="24.77734375" style="111" customWidth="1"/>
    <col min="773" max="788" width="10.77734375" style="111" customWidth="1"/>
    <col min="789" max="1024" width="10.77734375" style="111"/>
    <col min="1025" max="1025" width="41" style="111" customWidth="1"/>
    <col min="1026" max="1026" width="11.77734375" style="111" bestFit="1" customWidth="1"/>
    <col min="1027" max="1027" width="21.5546875" style="111" customWidth="1"/>
    <col min="1028" max="1028" width="24.77734375" style="111" customWidth="1"/>
    <col min="1029" max="1044" width="10.77734375" style="111" customWidth="1"/>
    <col min="1045" max="1280" width="10.77734375" style="111"/>
    <col min="1281" max="1281" width="41" style="111" customWidth="1"/>
    <col min="1282" max="1282" width="11.77734375" style="111" bestFit="1" customWidth="1"/>
    <col min="1283" max="1283" width="21.5546875" style="111" customWidth="1"/>
    <col min="1284" max="1284" width="24.77734375" style="111" customWidth="1"/>
    <col min="1285" max="1300" width="10.77734375" style="111" customWidth="1"/>
    <col min="1301" max="1536" width="10.77734375" style="111"/>
    <col min="1537" max="1537" width="41" style="111" customWidth="1"/>
    <col min="1538" max="1538" width="11.77734375" style="111" bestFit="1" customWidth="1"/>
    <col min="1539" max="1539" width="21.5546875" style="111" customWidth="1"/>
    <col min="1540" max="1540" width="24.77734375" style="111" customWidth="1"/>
    <col min="1541" max="1556" width="10.77734375" style="111" customWidth="1"/>
    <col min="1557" max="1792" width="10.77734375" style="111"/>
    <col min="1793" max="1793" width="41" style="111" customWidth="1"/>
    <col min="1794" max="1794" width="11.77734375" style="111" bestFit="1" customWidth="1"/>
    <col min="1795" max="1795" width="21.5546875" style="111" customWidth="1"/>
    <col min="1796" max="1796" width="24.77734375" style="111" customWidth="1"/>
    <col min="1797" max="1812" width="10.77734375" style="111" customWidth="1"/>
    <col min="1813" max="2048" width="10.77734375" style="111"/>
    <col min="2049" max="2049" width="41" style="111" customWidth="1"/>
    <col min="2050" max="2050" width="11.77734375" style="111" bestFit="1" customWidth="1"/>
    <col min="2051" max="2051" width="21.5546875" style="111" customWidth="1"/>
    <col min="2052" max="2052" width="24.77734375" style="111" customWidth="1"/>
    <col min="2053" max="2068" width="10.77734375" style="111" customWidth="1"/>
    <col min="2069" max="2304" width="10.77734375" style="111"/>
    <col min="2305" max="2305" width="41" style="111" customWidth="1"/>
    <col min="2306" max="2306" width="11.77734375" style="111" bestFit="1" customWidth="1"/>
    <col min="2307" max="2307" width="21.5546875" style="111" customWidth="1"/>
    <col min="2308" max="2308" width="24.77734375" style="111" customWidth="1"/>
    <col min="2309" max="2324" width="10.77734375" style="111" customWidth="1"/>
    <col min="2325" max="2560" width="10.77734375" style="111"/>
    <col min="2561" max="2561" width="41" style="111" customWidth="1"/>
    <col min="2562" max="2562" width="11.77734375" style="111" bestFit="1" customWidth="1"/>
    <col min="2563" max="2563" width="21.5546875" style="111" customWidth="1"/>
    <col min="2564" max="2564" width="24.77734375" style="111" customWidth="1"/>
    <col min="2565" max="2580" width="10.77734375" style="111" customWidth="1"/>
    <col min="2581" max="2816" width="10.77734375" style="111"/>
    <col min="2817" max="2817" width="41" style="111" customWidth="1"/>
    <col min="2818" max="2818" width="11.77734375" style="111" bestFit="1" customWidth="1"/>
    <col min="2819" max="2819" width="21.5546875" style="111" customWidth="1"/>
    <col min="2820" max="2820" width="24.77734375" style="111" customWidth="1"/>
    <col min="2821" max="2836" width="10.77734375" style="111" customWidth="1"/>
    <col min="2837" max="3072" width="10.77734375" style="111"/>
    <col min="3073" max="3073" width="41" style="111" customWidth="1"/>
    <col min="3074" max="3074" width="11.77734375" style="111" bestFit="1" customWidth="1"/>
    <col min="3075" max="3075" width="21.5546875" style="111" customWidth="1"/>
    <col min="3076" max="3076" width="24.77734375" style="111" customWidth="1"/>
    <col min="3077" max="3092" width="10.77734375" style="111" customWidth="1"/>
    <col min="3093" max="3328" width="10.77734375" style="111"/>
    <col min="3329" max="3329" width="41" style="111" customWidth="1"/>
    <col min="3330" max="3330" width="11.77734375" style="111" bestFit="1" customWidth="1"/>
    <col min="3331" max="3331" width="21.5546875" style="111" customWidth="1"/>
    <col min="3332" max="3332" width="24.77734375" style="111" customWidth="1"/>
    <col min="3333" max="3348" width="10.77734375" style="111" customWidth="1"/>
    <col min="3349" max="3584" width="10.77734375" style="111"/>
    <col min="3585" max="3585" width="41" style="111" customWidth="1"/>
    <col min="3586" max="3586" width="11.77734375" style="111" bestFit="1" customWidth="1"/>
    <col min="3587" max="3587" width="21.5546875" style="111" customWidth="1"/>
    <col min="3588" max="3588" width="24.77734375" style="111" customWidth="1"/>
    <col min="3589" max="3604" width="10.77734375" style="111" customWidth="1"/>
    <col min="3605" max="3840" width="10.77734375" style="111"/>
    <col min="3841" max="3841" width="41" style="111" customWidth="1"/>
    <col min="3842" max="3842" width="11.77734375" style="111" bestFit="1" customWidth="1"/>
    <col min="3843" max="3843" width="21.5546875" style="111" customWidth="1"/>
    <col min="3844" max="3844" width="24.77734375" style="111" customWidth="1"/>
    <col min="3845" max="3860" width="10.77734375" style="111" customWidth="1"/>
    <col min="3861" max="4096" width="10.77734375" style="111"/>
    <col min="4097" max="4097" width="41" style="111" customWidth="1"/>
    <col min="4098" max="4098" width="11.77734375" style="111" bestFit="1" customWidth="1"/>
    <col min="4099" max="4099" width="21.5546875" style="111" customWidth="1"/>
    <col min="4100" max="4100" width="24.77734375" style="111" customWidth="1"/>
    <col min="4101" max="4116" width="10.77734375" style="111" customWidth="1"/>
    <col min="4117" max="4352" width="10.77734375" style="111"/>
    <col min="4353" max="4353" width="41" style="111" customWidth="1"/>
    <col min="4354" max="4354" width="11.77734375" style="111" bestFit="1" customWidth="1"/>
    <col min="4355" max="4355" width="21.5546875" style="111" customWidth="1"/>
    <col min="4356" max="4356" width="24.77734375" style="111" customWidth="1"/>
    <col min="4357" max="4372" width="10.77734375" style="111" customWidth="1"/>
    <col min="4373" max="4608" width="10.77734375" style="111"/>
    <col min="4609" max="4609" width="41" style="111" customWidth="1"/>
    <col min="4610" max="4610" width="11.77734375" style="111" bestFit="1" customWidth="1"/>
    <col min="4611" max="4611" width="21.5546875" style="111" customWidth="1"/>
    <col min="4612" max="4612" width="24.77734375" style="111" customWidth="1"/>
    <col min="4613" max="4628" width="10.77734375" style="111" customWidth="1"/>
    <col min="4629" max="4864" width="10.77734375" style="111"/>
    <col min="4865" max="4865" width="41" style="111" customWidth="1"/>
    <col min="4866" max="4866" width="11.77734375" style="111" bestFit="1" customWidth="1"/>
    <col min="4867" max="4867" width="21.5546875" style="111" customWidth="1"/>
    <col min="4868" max="4868" width="24.77734375" style="111" customWidth="1"/>
    <col min="4869" max="4884" width="10.77734375" style="111" customWidth="1"/>
    <col min="4885" max="5120" width="10.77734375" style="111"/>
    <col min="5121" max="5121" width="41" style="111" customWidth="1"/>
    <col min="5122" max="5122" width="11.77734375" style="111" bestFit="1" customWidth="1"/>
    <col min="5123" max="5123" width="21.5546875" style="111" customWidth="1"/>
    <col min="5124" max="5124" width="24.77734375" style="111" customWidth="1"/>
    <col min="5125" max="5140" width="10.77734375" style="111" customWidth="1"/>
    <col min="5141" max="5376" width="10.77734375" style="111"/>
    <col min="5377" max="5377" width="41" style="111" customWidth="1"/>
    <col min="5378" max="5378" width="11.77734375" style="111" bestFit="1" customWidth="1"/>
    <col min="5379" max="5379" width="21.5546875" style="111" customWidth="1"/>
    <col min="5380" max="5380" width="24.77734375" style="111" customWidth="1"/>
    <col min="5381" max="5396" width="10.77734375" style="111" customWidth="1"/>
    <col min="5397" max="5632" width="10.77734375" style="111"/>
    <col min="5633" max="5633" width="41" style="111" customWidth="1"/>
    <col min="5634" max="5634" width="11.77734375" style="111" bestFit="1" customWidth="1"/>
    <col min="5635" max="5635" width="21.5546875" style="111" customWidth="1"/>
    <col min="5636" max="5636" width="24.77734375" style="111" customWidth="1"/>
    <col min="5637" max="5652" width="10.77734375" style="111" customWidth="1"/>
    <col min="5653" max="5888" width="10.77734375" style="111"/>
    <col min="5889" max="5889" width="41" style="111" customWidth="1"/>
    <col min="5890" max="5890" width="11.77734375" style="111" bestFit="1" customWidth="1"/>
    <col min="5891" max="5891" width="21.5546875" style="111" customWidth="1"/>
    <col min="5892" max="5892" width="24.77734375" style="111" customWidth="1"/>
    <col min="5893" max="5908" width="10.77734375" style="111" customWidth="1"/>
    <col min="5909" max="6144" width="10.77734375" style="111"/>
    <col min="6145" max="6145" width="41" style="111" customWidth="1"/>
    <col min="6146" max="6146" width="11.77734375" style="111" bestFit="1" customWidth="1"/>
    <col min="6147" max="6147" width="21.5546875" style="111" customWidth="1"/>
    <col min="6148" max="6148" width="24.77734375" style="111" customWidth="1"/>
    <col min="6149" max="6164" width="10.77734375" style="111" customWidth="1"/>
    <col min="6165" max="6400" width="10.77734375" style="111"/>
    <col min="6401" max="6401" width="41" style="111" customWidth="1"/>
    <col min="6402" max="6402" width="11.77734375" style="111" bestFit="1" customWidth="1"/>
    <col min="6403" max="6403" width="21.5546875" style="111" customWidth="1"/>
    <col min="6404" max="6404" width="24.77734375" style="111" customWidth="1"/>
    <col min="6405" max="6420" width="10.77734375" style="111" customWidth="1"/>
    <col min="6421" max="6656" width="10.77734375" style="111"/>
    <col min="6657" max="6657" width="41" style="111" customWidth="1"/>
    <col min="6658" max="6658" width="11.77734375" style="111" bestFit="1" customWidth="1"/>
    <col min="6659" max="6659" width="21.5546875" style="111" customWidth="1"/>
    <col min="6660" max="6660" width="24.77734375" style="111" customWidth="1"/>
    <col min="6661" max="6676" width="10.77734375" style="111" customWidth="1"/>
    <col min="6677" max="6912" width="10.77734375" style="111"/>
    <col min="6913" max="6913" width="41" style="111" customWidth="1"/>
    <col min="6914" max="6914" width="11.77734375" style="111" bestFit="1" customWidth="1"/>
    <col min="6915" max="6915" width="21.5546875" style="111" customWidth="1"/>
    <col min="6916" max="6916" width="24.77734375" style="111" customWidth="1"/>
    <col min="6917" max="6932" width="10.77734375" style="111" customWidth="1"/>
    <col min="6933" max="7168" width="10.77734375" style="111"/>
    <col min="7169" max="7169" width="41" style="111" customWidth="1"/>
    <col min="7170" max="7170" width="11.77734375" style="111" bestFit="1" customWidth="1"/>
    <col min="7171" max="7171" width="21.5546875" style="111" customWidth="1"/>
    <col min="7172" max="7172" width="24.77734375" style="111" customWidth="1"/>
    <col min="7173" max="7188" width="10.77734375" style="111" customWidth="1"/>
    <col min="7189" max="7424" width="10.77734375" style="111"/>
    <col min="7425" max="7425" width="41" style="111" customWidth="1"/>
    <col min="7426" max="7426" width="11.77734375" style="111" bestFit="1" customWidth="1"/>
    <col min="7427" max="7427" width="21.5546875" style="111" customWidth="1"/>
    <col min="7428" max="7428" width="24.77734375" style="111" customWidth="1"/>
    <col min="7429" max="7444" width="10.77734375" style="111" customWidth="1"/>
    <col min="7445" max="7680" width="10.77734375" style="111"/>
    <col min="7681" max="7681" width="41" style="111" customWidth="1"/>
    <col min="7682" max="7682" width="11.77734375" style="111" bestFit="1" customWidth="1"/>
    <col min="7683" max="7683" width="21.5546875" style="111" customWidth="1"/>
    <col min="7684" max="7684" width="24.77734375" style="111" customWidth="1"/>
    <col min="7685" max="7700" width="10.77734375" style="111" customWidth="1"/>
    <col min="7701" max="7936" width="10.77734375" style="111"/>
    <col min="7937" max="7937" width="41" style="111" customWidth="1"/>
    <col min="7938" max="7938" width="11.77734375" style="111" bestFit="1" customWidth="1"/>
    <col min="7939" max="7939" width="21.5546875" style="111" customWidth="1"/>
    <col min="7940" max="7940" width="24.77734375" style="111" customWidth="1"/>
    <col min="7941" max="7956" width="10.77734375" style="111" customWidth="1"/>
    <col min="7957" max="8192" width="10.77734375" style="111"/>
    <col min="8193" max="8193" width="41" style="111" customWidth="1"/>
    <col min="8194" max="8194" width="11.77734375" style="111" bestFit="1" customWidth="1"/>
    <col min="8195" max="8195" width="21.5546875" style="111" customWidth="1"/>
    <col min="8196" max="8196" width="24.77734375" style="111" customWidth="1"/>
    <col min="8197" max="8212" width="10.77734375" style="111" customWidth="1"/>
    <col min="8213" max="8448" width="10.77734375" style="111"/>
    <col min="8449" max="8449" width="41" style="111" customWidth="1"/>
    <col min="8450" max="8450" width="11.77734375" style="111" bestFit="1" customWidth="1"/>
    <col min="8451" max="8451" width="21.5546875" style="111" customWidth="1"/>
    <col min="8452" max="8452" width="24.77734375" style="111" customWidth="1"/>
    <col min="8453" max="8468" width="10.77734375" style="111" customWidth="1"/>
    <col min="8469" max="8704" width="10.77734375" style="111"/>
    <col min="8705" max="8705" width="41" style="111" customWidth="1"/>
    <col min="8706" max="8706" width="11.77734375" style="111" bestFit="1" customWidth="1"/>
    <col min="8707" max="8707" width="21.5546875" style="111" customWidth="1"/>
    <col min="8708" max="8708" width="24.77734375" style="111" customWidth="1"/>
    <col min="8709" max="8724" width="10.77734375" style="111" customWidth="1"/>
    <col min="8725" max="8960" width="10.77734375" style="111"/>
    <col min="8961" max="8961" width="41" style="111" customWidth="1"/>
    <col min="8962" max="8962" width="11.77734375" style="111" bestFit="1" customWidth="1"/>
    <col min="8963" max="8963" width="21.5546875" style="111" customWidth="1"/>
    <col min="8964" max="8964" width="24.77734375" style="111" customWidth="1"/>
    <col min="8965" max="8980" width="10.77734375" style="111" customWidth="1"/>
    <col min="8981" max="9216" width="10.77734375" style="111"/>
    <col min="9217" max="9217" width="41" style="111" customWidth="1"/>
    <col min="9218" max="9218" width="11.77734375" style="111" bestFit="1" customWidth="1"/>
    <col min="9219" max="9219" width="21.5546875" style="111" customWidth="1"/>
    <col min="9220" max="9220" width="24.77734375" style="111" customWidth="1"/>
    <col min="9221" max="9236" width="10.77734375" style="111" customWidth="1"/>
    <col min="9237" max="9472" width="10.77734375" style="111"/>
    <col min="9473" max="9473" width="41" style="111" customWidth="1"/>
    <col min="9474" max="9474" width="11.77734375" style="111" bestFit="1" customWidth="1"/>
    <col min="9475" max="9475" width="21.5546875" style="111" customWidth="1"/>
    <col min="9476" max="9476" width="24.77734375" style="111" customWidth="1"/>
    <col min="9477" max="9492" width="10.77734375" style="111" customWidth="1"/>
    <col min="9493" max="9728" width="10.77734375" style="111"/>
    <col min="9729" max="9729" width="41" style="111" customWidth="1"/>
    <col min="9730" max="9730" width="11.77734375" style="111" bestFit="1" customWidth="1"/>
    <col min="9731" max="9731" width="21.5546875" style="111" customWidth="1"/>
    <col min="9732" max="9732" width="24.77734375" style="111" customWidth="1"/>
    <col min="9733" max="9748" width="10.77734375" style="111" customWidth="1"/>
    <col min="9749" max="9984" width="10.77734375" style="111"/>
    <col min="9985" max="9985" width="41" style="111" customWidth="1"/>
    <col min="9986" max="9986" width="11.77734375" style="111" bestFit="1" customWidth="1"/>
    <col min="9987" max="9987" width="21.5546875" style="111" customWidth="1"/>
    <col min="9988" max="9988" width="24.77734375" style="111" customWidth="1"/>
    <col min="9989" max="10004" width="10.77734375" style="111" customWidth="1"/>
    <col min="10005" max="10240" width="10.77734375" style="111"/>
    <col min="10241" max="10241" width="41" style="111" customWidth="1"/>
    <col min="10242" max="10242" width="11.77734375" style="111" bestFit="1" customWidth="1"/>
    <col min="10243" max="10243" width="21.5546875" style="111" customWidth="1"/>
    <col min="10244" max="10244" width="24.77734375" style="111" customWidth="1"/>
    <col min="10245" max="10260" width="10.77734375" style="111" customWidth="1"/>
    <col min="10261" max="10496" width="10.77734375" style="111"/>
    <col min="10497" max="10497" width="41" style="111" customWidth="1"/>
    <col min="10498" max="10498" width="11.77734375" style="111" bestFit="1" customWidth="1"/>
    <col min="10499" max="10499" width="21.5546875" style="111" customWidth="1"/>
    <col min="10500" max="10500" width="24.77734375" style="111" customWidth="1"/>
    <col min="10501" max="10516" width="10.77734375" style="111" customWidth="1"/>
    <col min="10517" max="10752" width="10.77734375" style="111"/>
    <col min="10753" max="10753" width="41" style="111" customWidth="1"/>
    <col min="10754" max="10754" width="11.77734375" style="111" bestFit="1" customWidth="1"/>
    <col min="10755" max="10755" width="21.5546875" style="111" customWidth="1"/>
    <col min="10756" max="10756" width="24.77734375" style="111" customWidth="1"/>
    <col min="10757" max="10772" width="10.77734375" style="111" customWidth="1"/>
    <col min="10773" max="11008" width="10.77734375" style="111"/>
    <col min="11009" max="11009" width="41" style="111" customWidth="1"/>
    <col min="11010" max="11010" width="11.77734375" style="111" bestFit="1" customWidth="1"/>
    <col min="11011" max="11011" width="21.5546875" style="111" customWidth="1"/>
    <col min="11012" max="11012" width="24.77734375" style="111" customWidth="1"/>
    <col min="11013" max="11028" width="10.77734375" style="111" customWidth="1"/>
    <col min="11029" max="11264" width="10.77734375" style="111"/>
    <col min="11265" max="11265" width="41" style="111" customWidth="1"/>
    <col min="11266" max="11266" width="11.77734375" style="111" bestFit="1" customWidth="1"/>
    <col min="11267" max="11267" width="21.5546875" style="111" customWidth="1"/>
    <col min="11268" max="11268" width="24.77734375" style="111" customWidth="1"/>
    <col min="11269" max="11284" width="10.77734375" style="111" customWidth="1"/>
    <col min="11285" max="11520" width="10.77734375" style="111"/>
    <col min="11521" max="11521" width="41" style="111" customWidth="1"/>
    <col min="11522" max="11522" width="11.77734375" style="111" bestFit="1" customWidth="1"/>
    <col min="11523" max="11523" width="21.5546875" style="111" customWidth="1"/>
    <col min="11524" max="11524" width="24.77734375" style="111" customWidth="1"/>
    <col min="11525" max="11540" width="10.77734375" style="111" customWidth="1"/>
    <col min="11541" max="11776" width="10.77734375" style="111"/>
    <col min="11777" max="11777" width="41" style="111" customWidth="1"/>
    <col min="11778" max="11778" width="11.77734375" style="111" bestFit="1" customWidth="1"/>
    <col min="11779" max="11779" width="21.5546875" style="111" customWidth="1"/>
    <col min="11780" max="11780" width="24.77734375" style="111" customWidth="1"/>
    <col min="11781" max="11796" width="10.77734375" style="111" customWidth="1"/>
    <col min="11797" max="12032" width="10.77734375" style="111"/>
    <col min="12033" max="12033" width="41" style="111" customWidth="1"/>
    <col min="12034" max="12034" width="11.77734375" style="111" bestFit="1" customWidth="1"/>
    <col min="12035" max="12035" width="21.5546875" style="111" customWidth="1"/>
    <col min="12036" max="12036" width="24.77734375" style="111" customWidth="1"/>
    <col min="12037" max="12052" width="10.77734375" style="111" customWidth="1"/>
    <col min="12053" max="12288" width="10.77734375" style="111"/>
    <col min="12289" max="12289" width="41" style="111" customWidth="1"/>
    <col min="12290" max="12290" width="11.77734375" style="111" bestFit="1" customWidth="1"/>
    <col min="12291" max="12291" width="21.5546875" style="111" customWidth="1"/>
    <col min="12292" max="12292" width="24.77734375" style="111" customWidth="1"/>
    <col min="12293" max="12308" width="10.77734375" style="111" customWidth="1"/>
    <col min="12309" max="12544" width="10.77734375" style="111"/>
    <col min="12545" max="12545" width="41" style="111" customWidth="1"/>
    <col min="12546" max="12546" width="11.77734375" style="111" bestFit="1" customWidth="1"/>
    <col min="12547" max="12547" width="21.5546875" style="111" customWidth="1"/>
    <col min="12548" max="12548" width="24.77734375" style="111" customWidth="1"/>
    <col min="12549" max="12564" width="10.77734375" style="111" customWidth="1"/>
    <col min="12565" max="12800" width="10.77734375" style="111"/>
    <col min="12801" max="12801" width="41" style="111" customWidth="1"/>
    <col min="12802" max="12802" width="11.77734375" style="111" bestFit="1" customWidth="1"/>
    <col min="12803" max="12803" width="21.5546875" style="111" customWidth="1"/>
    <col min="12804" max="12804" width="24.77734375" style="111" customWidth="1"/>
    <col min="12805" max="12820" width="10.77734375" style="111" customWidth="1"/>
    <col min="12821" max="13056" width="10.77734375" style="111"/>
    <col min="13057" max="13057" width="41" style="111" customWidth="1"/>
    <col min="13058" max="13058" width="11.77734375" style="111" bestFit="1" customWidth="1"/>
    <col min="13059" max="13059" width="21.5546875" style="111" customWidth="1"/>
    <col min="13060" max="13060" width="24.77734375" style="111" customWidth="1"/>
    <col min="13061" max="13076" width="10.77734375" style="111" customWidth="1"/>
    <col min="13077" max="13312" width="10.77734375" style="111"/>
    <col min="13313" max="13313" width="41" style="111" customWidth="1"/>
    <col min="13314" max="13314" width="11.77734375" style="111" bestFit="1" customWidth="1"/>
    <col min="13315" max="13315" width="21.5546875" style="111" customWidth="1"/>
    <col min="13316" max="13316" width="24.77734375" style="111" customWidth="1"/>
    <col min="13317" max="13332" width="10.77734375" style="111" customWidth="1"/>
    <col min="13333" max="13568" width="10.77734375" style="111"/>
    <col min="13569" max="13569" width="41" style="111" customWidth="1"/>
    <col min="13570" max="13570" width="11.77734375" style="111" bestFit="1" customWidth="1"/>
    <col min="13571" max="13571" width="21.5546875" style="111" customWidth="1"/>
    <col min="13572" max="13572" width="24.77734375" style="111" customWidth="1"/>
    <col min="13573" max="13588" width="10.77734375" style="111" customWidth="1"/>
    <col min="13589" max="13824" width="10.77734375" style="111"/>
    <col min="13825" max="13825" width="41" style="111" customWidth="1"/>
    <col min="13826" max="13826" width="11.77734375" style="111" bestFit="1" customWidth="1"/>
    <col min="13827" max="13827" width="21.5546875" style="111" customWidth="1"/>
    <col min="13828" max="13828" width="24.77734375" style="111" customWidth="1"/>
    <col min="13829" max="13844" width="10.77734375" style="111" customWidth="1"/>
    <col min="13845" max="14080" width="10.77734375" style="111"/>
    <col min="14081" max="14081" width="41" style="111" customWidth="1"/>
    <col min="14082" max="14082" width="11.77734375" style="111" bestFit="1" customWidth="1"/>
    <col min="14083" max="14083" width="21.5546875" style="111" customWidth="1"/>
    <col min="14084" max="14084" width="24.77734375" style="111" customWidth="1"/>
    <col min="14085" max="14100" width="10.77734375" style="111" customWidth="1"/>
    <col min="14101" max="14336" width="10.77734375" style="111"/>
    <col min="14337" max="14337" width="41" style="111" customWidth="1"/>
    <col min="14338" max="14338" width="11.77734375" style="111" bestFit="1" customWidth="1"/>
    <col min="14339" max="14339" width="21.5546875" style="111" customWidth="1"/>
    <col min="14340" max="14340" width="24.77734375" style="111" customWidth="1"/>
    <col min="14341" max="14356" width="10.77734375" style="111" customWidth="1"/>
    <col min="14357" max="14592" width="10.77734375" style="111"/>
    <col min="14593" max="14593" width="41" style="111" customWidth="1"/>
    <col min="14594" max="14594" width="11.77734375" style="111" bestFit="1" customWidth="1"/>
    <col min="14595" max="14595" width="21.5546875" style="111" customWidth="1"/>
    <col min="14596" max="14596" width="24.77734375" style="111" customWidth="1"/>
    <col min="14597" max="14612" width="10.77734375" style="111" customWidth="1"/>
    <col min="14613" max="14848" width="10.77734375" style="111"/>
    <col min="14849" max="14849" width="41" style="111" customWidth="1"/>
    <col min="14850" max="14850" width="11.77734375" style="111" bestFit="1" customWidth="1"/>
    <col min="14851" max="14851" width="21.5546875" style="111" customWidth="1"/>
    <col min="14852" max="14852" width="24.77734375" style="111" customWidth="1"/>
    <col min="14853" max="14868" width="10.77734375" style="111" customWidth="1"/>
    <col min="14869" max="15104" width="10.77734375" style="111"/>
    <col min="15105" max="15105" width="41" style="111" customWidth="1"/>
    <col min="15106" max="15106" width="11.77734375" style="111" bestFit="1" customWidth="1"/>
    <col min="15107" max="15107" width="21.5546875" style="111" customWidth="1"/>
    <col min="15108" max="15108" width="24.77734375" style="111" customWidth="1"/>
    <col min="15109" max="15124" width="10.77734375" style="111" customWidth="1"/>
    <col min="15125" max="15360" width="10.77734375" style="111"/>
    <col min="15361" max="15361" width="41" style="111" customWidth="1"/>
    <col min="15362" max="15362" width="11.77734375" style="111" bestFit="1" customWidth="1"/>
    <col min="15363" max="15363" width="21.5546875" style="111" customWidth="1"/>
    <col min="15364" max="15364" width="24.77734375" style="111" customWidth="1"/>
    <col min="15365" max="15380" width="10.77734375" style="111" customWidth="1"/>
    <col min="15381" max="15616" width="10.77734375" style="111"/>
    <col min="15617" max="15617" width="41" style="111" customWidth="1"/>
    <col min="15618" max="15618" width="11.77734375" style="111" bestFit="1" customWidth="1"/>
    <col min="15619" max="15619" width="21.5546875" style="111" customWidth="1"/>
    <col min="15620" max="15620" width="24.77734375" style="111" customWidth="1"/>
    <col min="15621" max="15636" width="10.77734375" style="111" customWidth="1"/>
    <col min="15637" max="15872" width="10.77734375" style="111"/>
    <col min="15873" max="15873" width="41" style="111" customWidth="1"/>
    <col min="15874" max="15874" width="11.77734375" style="111" bestFit="1" customWidth="1"/>
    <col min="15875" max="15875" width="21.5546875" style="111" customWidth="1"/>
    <col min="15876" max="15876" width="24.77734375" style="111" customWidth="1"/>
    <col min="15877" max="15892" width="10.77734375" style="111" customWidth="1"/>
    <col min="15893" max="16128" width="10.77734375" style="111"/>
    <col min="16129" max="16129" width="41" style="111" customWidth="1"/>
    <col min="16130" max="16130" width="11.77734375" style="111" bestFit="1" customWidth="1"/>
    <col min="16131" max="16131" width="21.5546875" style="111" customWidth="1"/>
    <col min="16132" max="16132" width="24.77734375" style="111" customWidth="1"/>
    <col min="16133" max="16148" width="10.77734375" style="111" customWidth="1"/>
    <col min="16149" max="16384" width="10.77734375" style="111"/>
  </cols>
  <sheetData>
    <row r="1" spans="1:8" s="65" customFormat="1" ht="18" customHeight="1">
      <c r="A1" s="238" t="s">
        <v>61</v>
      </c>
      <c r="B1" s="238"/>
      <c r="C1" s="238"/>
      <c r="D1" s="238"/>
      <c r="E1" s="64"/>
      <c r="F1" s="64"/>
      <c r="G1" s="64"/>
      <c r="H1" s="64"/>
    </row>
    <row r="2" spans="1:8" s="65" customFormat="1" ht="15.6">
      <c r="A2" s="239" t="s">
        <v>62</v>
      </c>
      <c r="B2" s="239"/>
      <c r="C2" s="239"/>
      <c r="D2" s="239"/>
    </row>
    <row r="3" spans="1:8" s="65" customFormat="1" ht="15" customHeight="1">
      <c r="A3" s="240" t="s">
        <v>63</v>
      </c>
      <c r="B3" s="240"/>
      <c r="C3" s="240"/>
      <c r="D3" s="240"/>
    </row>
    <row r="4" spans="1:8" s="66" customFormat="1" ht="15" customHeight="1">
      <c r="A4" s="241" t="s">
        <v>64</v>
      </c>
      <c r="B4" s="241"/>
      <c r="C4" s="241"/>
      <c r="D4" s="241"/>
      <c r="E4" s="65"/>
      <c r="F4" s="65"/>
      <c r="G4" s="65"/>
      <c r="H4" s="65"/>
    </row>
    <row r="5" spans="1:8" s="66" customFormat="1">
      <c r="C5" s="242" t="s">
        <v>102</v>
      </c>
      <c r="D5" s="243"/>
    </row>
    <row r="6" spans="1:8" s="66" customFormat="1">
      <c r="A6" s="67" t="s">
        <v>65</v>
      </c>
      <c r="B6" s="68" t="s">
        <v>66</v>
      </c>
      <c r="C6" s="69" t="s">
        <v>67</v>
      </c>
      <c r="D6" s="69" t="s">
        <v>68</v>
      </c>
    </row>
    <row r="7" spans="1:8" s="65" customFormat="1">
      <c r="A7" s="70" t="s">
        <v>69</v>
      </c>
      <c r="B7" s="67"/>
      <c r="C7" s="71"/>
      <c r="D7" s="71"/>
      <c r="E7" s="66"/>
      <c r="F7" s="66"/>
      <c r="G7" s="66"/>
      <c r="H7" s="66"/>
    </row>
    <row r="8" spans="1:8" s="65" customFormat="1">
      <c r="A8" s="72" t="s">
        <v>70</v>
      </c>
      <c r="B8" s="73"/>
      <c r="C8" s="74">
        <v>1400</v>
      </c>
      <c r="D8" s="74">
        <v>1400</v>
      </c>
      <c r="E8" s="66"/>
      <c r="F8" s="66"/>
      <c r="G8" s="66"/>
      <c r="H8" s="66"/>
    </row>
    <row r="9" spans="1:8" s="65" customFormat="1">
      <c r="A9" s="75" t="s">
        <v>71</v>
      </c>
      <c r="B9" s="76">
        <v>10</v>
      </c>
      <c r="C9" s="77">
        <f>0.1*C8</f>
        <v>140</v>
      </c>
      <c r="D9" s="77">
        <f>0.1*D8</f>
        <v>140</v>
      </c>
    </row>
    <row r="10" spans="1:8" s="65" customFormat="1">
      <c r="A10" s="78" t="s">
        <v>72</v>
      </c>
      <c r="B10" s="79"/>
      <c r="C10" s="80"/>
      <c r="D10" s="81"/>
    </row>
    <row r="11" spans="1:8" s="65" customFormat="1" ht="22.5" customHeight="1">
      <c r="A11" s="78" t="s">
        <v>73</v>
      </c>
      <c r="B11" s="76">
        <v>35</v>
      </c>
      <c r="C11" s="82">
        <v>0</v>
      </c>
      <c r="D11" s="77">
        <f>D8*0.35</f>
        <v>489.99999999999994</v>
      </c>
    </row>
    <row r="12" spans="1:8" s="65" customFormat="1">
      <c r="A12" s="75" t="s">
        <v>74</v>
      </c>
      <c r="B12" s="76">
        <v>25</v>
      </c>
      <c r="C12" s="77">
        <f>(((C8+C9)/30)/8)*1.25*2*20</f>
        <v>320.83333333333337</v>
      </c>
      <c r="D12" s="77">
        <f>(((D8+D9+D11)/30)/8)*1.25*2*20</f>
        <v>422.91666666666674</v>
      </c>
    </row>
    <row r="13" spans="1:8" s="65" customFormat="1" ht="13.8" thickBot="1">
      <c r="A13" s="83" t="s">
        <v>75</v>
      </c>
      <c r="B13" s="84">
        <v>35</v>
      </c>
      <c r="C13" s="85">
        <f>(((C8+C9)/30)/8)*1.35*2*20</f>
        <v>346.50000000000006</v>
      </c>
      <c r="D13" s="85">
        <f>(((D8+D9+D11)/30)/8)*1.35*2*20</f>
        <v>456.75000000000006</v>
      </c>
    </row>
    <row r="14" spans="1:8" s="65" customFormat="1" ht="13.8" thickBot="1">
      <c r="A14" s="86" t="s">
        <v>76</v>
      </c>
      <c r="B14" s="87"/>
      <c r="C14" s="88">
        <f>SUM(C8:C13)</f>
        <v>2207.3333333333335</v>
      </c>
      <c r="D14" s="89">
        <f>SUM(D8:D13)</f>
        <v>2909.666666666667</v>
      </c>
      <c r="E14" s="90"/>
    </row>
    <row r="15" spans="1:8" s="65" customFormat="1">
      <c r="A15" s="91" t="s">
        <v>77</v>
      </c>
      <c r="B15" s="92"/>
      <c r="C15" s="93">
        <f>+((C8/30)/8*2)*12</f>
        <v>140</v>
      </c>
      <c r="D15" s="93">
        <f>+((D8/30)/8*2)*12</f>
        <v>140</v>
      </c>
    </row>
    <row r="16" spans="1:8" s="65" customFormat="1" ht="24.75" customHeight="1" thickBot="1">
      <c r="A16" s="83" t="s">
        <v>78</v>
      </c>
      <c r="B16" s="84"/>
      <c r="C16" s="94">
        <f>+C14/6</f>
        <v>367.88888888888891</v>
      </c>
      <c r="D16" s="94">
        <f>+D14/6</f>
        <v>484.94444444444451</v>
      </c>
    </row>
    <row r="17" spans="1:8" s="65" customFormat="1" ht="13.8" thickBot="1">
      <c r="A17" s="86" t="s">
        <v>79</v>
      </c>
      <c r="B17" s="95"/>
      <c r="C17" s="88">
        <f>SUM(C14:C16)</f>
        <v>2715.2222222222226</v>
      </c>
      <c r="D17" s="89">
        <f>SUM(D14:D16)</f>
        <v>3534.6111111111113</v>
      </c>
    </row>
    <row r="18" spans="1:8" s="65" customFormat="1" ht="20.399999999999999">
      <c r="A18" s="96" t="s">
        <v>80</v>
      </c>
      <c r="B18" s="92">
        <v>8.33</v>
      </c>
      <c r="C18" s="93">
        <f>+C17*$B$18/100/2</f>
        <v>113.08900555555557</v>
      </c>
      <c r="D18" s="93">
        <f>+D17*$B$18/100/2</f>
        <v>147.21655277777779</v>
      </c>
    </row>
    <row r="19" spans="1:8" s="65" customFormat="1" ht="20.399999999999999">
      <c r="A19" s="78" t="s">
        <v>81</v>
      </c>
      <c r="B19" s="76">
        <v>16.670000000000002</v>
      </c>
      <c r="C19" s="97">
        <f>+C17*$B$19/100/2</f>
        <v>226.3137722222223</v>
      </c>
      <c r="D19" s="97">
        <f>+D17*$B$19/100/2</f>
        <v>294.60983611111112</v>
      </c>
    </row>
    <row r="20" spans="1:8" s="65" customFormat="1">
      <c r="A20" s="98" t="s">
        <v>82</v>
      </c>
      <c r="B20" s="99">
        <v>9</v>
      </c>
      <c r="C20" s="100">
        <f>+C19*$B$20/100</f>
        <v>20.368239500000005</v>
      </c>
      <c r="D20" s="100">
        <f>+D19*$B$20/100</f>
        <v>26.514885250000003</v>
      </c>
    </row>
    <row r="21" spans="1:8" s="65" customFormat="1" ht="13.8" thickBot="1">
      <c r="A21" s="101" t="s">
        <v>83</v>
      </c>
      <c r="B21" s="84">
        <v>9.7200000000000006</v>
      </c>
      <c r="C21" s="94">
        <f>+C17*$B$21/100/2</f>
        <v>131.95980000000003</v>
      </c>
      <c r="D21" s="94">
        <f>+D17*$B$21/100/2</f>
        <v>171.78210000000001</v>
      </c>
    </row>
    <row r="22" spans="1:8" s="65" customFormat="1" ht="13.8" thickBot="1">
      <c r="A22" s="86" t="s">
        <v>84</v>
      </c>
      <c r="B22" s="87"/>
      <c r="C22" s="88">
        <f>SUM(C17:C21)</f>
        <v>3206.9530395000006</v>
      </c>
      <c r="D22" s="88">
        <f>SUM(D17:D21)</f>
        <v>4174.7344852500009</v>
      </c>
    </row>
    <row r="23" spans="1:8" s="65" customFormat="1">
      <c r="A23" s="102" t="s">
        <v>85</v>
      </c>
      <c r="B23" s="92"/>
      <c r="C23" s="103"/>
      <c r="D23" s="103"/>
    </row>
    <row r="24" spans="1:8" s="66" customFormat="1">
      <c r="A24" s="75" t="s">
        <v>86</v>
      </c>
      <c r="B24" s="76">
        <v>9</v>
      </c>
      <c r="C24" s="97">
        <f>+(C17+C18)*$B$24/100</f>
        <v>254.54801050000003</v>
      </c>
      <c r="D24" s="97">
        <f>+(D17+D18)*$B$24/100</f>
        <v>331.36448975000008</v>
      </c>
      <c r="E24" s="65"/>
      <c r="F24" s="65"/>
      <c r="G24" s="65"/>
      <c r="H24" s="65"/>
    </row>
    <row r="25" spans="1:8" s="65" customFormat="1">
      <c r="A25" s="78" t="s">
        <v>87</v>
      </c>
      <c r="B25" s="76">
        <v>1.5</v>
      </c>
      <c r="C25" s="97"/>
      <c r="D25" s="97"/>
    </row>
    <row r="26" spans="1:8" s="65" customFormat="1">
      <c r="A26" s="70" t="s">
        <v>88</v>
      </c>
      <c r="B26" s="70"/>
      <c r="C26" s="104">
        <f>SUM(C22:C25)</f>
        <v>3461.5010500000008</v>
      </c>
      <c r="D26" s="104">
        <f>SUM(D22:D25)</f>
        <v>4506.0989750000008</v>
      </c>
      <c r="E26" s="66"/>
      <c r="F26" s="66"/>
      <c r="G26" s="66"/>
      <c r="H26" s="66"/>
    </row>
    <row r="27" spans="1:8" s="65" customFormat="1">
      <c r="A27" s="105" t="s">
        <v>89</v>
      </c>
      <c r="B27" s="106"/>
      <c r="C27" s="74"/>
      <c r="D27" s="74"/>
    </row>
    <row r="28" spans="1:8" s="66" customFormat="1">
      <c r="A28" s="105" t="s">
        <v>90</v>
      </c>
      <c r="B28" s="106"/>
      <c r="C28" s="74"/>
      <c r="D28" s="74"/>
      <c r="E28" s="65"/>
      <c r="F28" s="65"/>
      <c r="G28" s="65"/>
      <c r="H28" s="65"/>
    </row>
    <row r="29" spans="1:8" s="65" customFormat="1">
      <c r="A29" s="105" t="s">
        <v>91</v>
      </c>
      <c r="B29" s="106"/>
      <c r="C29" s="74"/>
      <c r="D29" s="74"/>
    </row>
    <row r="30" spans="1:8" s="65" customFormat="1">
      <c r="A30" s="107" t="s">
        <v>92</v>
      </c>
      <c r="B30" s="106"/>
      <c r="C30" s="74"/>
      <c r="D30" s="74"/>
    </row>
    <row r="31" spans="1:8" s="65" customFormat="1">
      <c r="A31" s="73" t="s">
        <v>93</v>
      </c>
      <c r="B31" s="106"/>
      <c r="C31" s="104">
        <f>SUM(C26:C30)</f>
        <v>3461.5010500000008</v>
      </c>
      <c r="D31" s="104">
        <f>SUM(D26:D30)</f>
        <v>4506.0989750000008</v>
      </c>
      <c r="E31" s="66"/>
      <c r="F31" s="66"/>
      <c r="G31" s="66"/>
      <c r="H31" s="66"/>
    </row>
    <row r="32" spans="1:8" s="65" customFormat="1">
      <c r="A32" s="105" t="s">
        <v>94</v>
      </c>
      <c r="B32" s="106"/>
      <c r="C32" s="74"/>
      <c r="D32" s="108"/>
    </row>
    <row r="33" spans="1:8" s="65" customFormat="1">
      <c r="A33" s="105" t="s">
        <v>95</v>
      </c>
      <c r="B33" s="106"/>
      <c r="C33" s="74"/>
      <c r="D33" s="108"/>
    </row>
    <row r="34" spans="1:8" s="65" customFormat="1">
      <c r="A34" s="109" t="s">
        <v>96</v>
      </c>
      <c r="B34" s="106"/>
      <c r="C34" s="110">
        <f>SUM(C31:C33)</f>
        <v>3461.5010500000008</v>
      </c>
      <c r="D34" s="110">
        <f>SUM(D31:D33)</f>
        <v>4506.0989750000008</v>
      </c>
    </row>
    <row r="35" spans="1:8">
      <c r="A35" s="75" t="s">
        <v>97</v>
      </c>
      <c r="B35" s="106"/>
      <c r="C35" s="97"/>
      <c r="D35" s="97"/>
      <c r="E35" s="65"/>
      <c r="F35" s="65"/>
      <c r="G35" s="65"/>
      <c r="H35" s="65"/>
    </row>
    <row r="36" spans="1:8">
      <c r="A36" s="109" t="s">
        <v>98</v>
      </c>
      <c r="B36" s="106"/>
      <c r="C36" s="116">
        <f>SUM(C34:C35)</f>
        <v>3461.5010500000008</v>
      </c>
      <c r="D36" s="116">
        <f>SUM(D34:D35)</f>
        <v>4506.0989750000008</v>
      </c>
      <c r="E36" s="65"/>
      <c r="F36" s="65"/>
      <c r="G36" s="65"/>
      <c r="H36" s="65"/>
    </row>
    <row r="37" spans="1:8" s="65" customFormat="1" ht="13.95" customHeight="1">
      <c r="A37" s="109" t="s">
        <v>99</v>
      </c>
      <c r="B37" s="106"/>
      <c r="C37" s="236">
        <f>SUM(C36:D36)</f>
        <v>7967.6000250000016</v>
      </c>
      <c r="D37" s="237"/>
      <c r="E37" s="111"/>
      <c r="F37" s="111"/>
      <c r="G37" s="111"/>
      <c r="H37" s="111"/>
    </row>
    <row r="38" spans="1:8" s="65" customFormat="1" ht="12.6" customHeight="1">
      <c r="A38" s="121" t="s">
        <v>101</v>
      </c>
      <c r="B38" s="118"/>
      <c r="C38" s="122">
        <f>+C37/2</f>
        <v>3983.8000125000008</v>
      </c>
      <c r="D38" s="114"/>
      <c r="E38" s="111"/>
      <c r="F38" s="111"/>
      <c r="G38" s="111"/>
      <c r="H38" s="111"/>
    </row>
    <row r="39" spans="1:8" s="65" customFormat="1" ht="12.6" customHeight="1">
      <c r="A39" s="112"/>
      <c r="B39" s="113"/>
      <c r="C39" s="114"/>
      <c r="D39" s="114"/>
      <c r="E39" s="111"/>
      <c r="F39" s="111"/>
      <c r="G39" s="111"/>
      <c r="H39" s="111"/>
    </row>
  </sheetData>
  <mergeCells count="6">
    <mergeCell ref="C37:D37"/>
    <mergeCell ref="A1:D1"/>
    <mergeCell ref="A2:D2"/>
    <mergeCell ref="A3:D3"/>
    <mergeCell ref="A4:D4"/>
    <mergeCell ref="C5:D5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9"/>
  <sheetViews>
    <sheetView topLeftCell="A2" workbookViewId="0">
      <selection activeCell="E13" sqref="E13:H13"/>
    </sheetView>
  </sheetViews>
  <sheetFormatPr baseColWidth="10" defaultColWidth="10.77734375" defaultRowHeight="13.2"/>
  <cols>
    <col min="1" max="1" width="43.21875" style="111" customWidth="1"/>
    <col min="2" max="2" width="11.77734375" style="111" bestFit="1" customWidth="1"/>
    <col min="3" max="3" width="21.5546875" style="115" customWidth="1"/>
    <col min="4" max="4" width="27.5546875" style="115" customWidth="1"/>
    <col min="5" max="20" width="10.77734375" style="111" customWidth="1"/>
    <col min="21" max="256" width="10.77734375" style="111"/>
    <col min="257" max="257" width="41" style="111" customWidth="1"/>
    <col min="258" max="258" width="11.77734375" style="111" bestFit="1" customWidth="1"/>
    <col min="259" max="259" width="21.5546875" style="111" customWidth="1"/>
    <col min="260" max="260" width="24.77734375" style="111" customWidth="1"/>
    <col min="261" max="276" width="10.77734375" style="111" customWidth="1"/>
    <col min="277" max="512" width="10.77734375" style="111"/>
    <col min="513" max="513" width="41" style="111" customWidth="1"/>
    <col min="514" max="514" width="11.77734375" style="111" bestFit="1" customWidth="1"/>
    <col min="515" max="515" width="21.5546875" style="111" customWidth="1"/>
    <col min="516" max="516" width="24.77734375" style="111" customWidth="1"/>
    <col min="517" max="532" width="10.77734375" style="111" customWidth="1"/>
    <col min="533" max="768" width="10.77734375" style="111"/>
    <col min="769" max="769" width="41" style="111" customWidth="1"/>
    <col min="770" max="770" width="11.77734375" style="111" bestFit="1" customWidth="1"/>
    <col min="771" max="771" width="21.5546875" style="111" customWidth="1"/>
    <col min="772" max="772" width="24.77734375" style="111" customWidth="1"/>
    <col min="773" max="788" width="10.77734375" style="111" customWidth="1"/>
    <col min="789" max="1024" width="10.77734375" style="111"/>
    <col min="1025" max="1025" width="41" style="111" customWidth="1"/>
    <col min="1026" max="1026" width="11.77734375" style="111" bestFit="1" customWidth="1"/>
    <col min="1027" max="1027" width="21.5546875" style="111" customWidth="1"/>
    <col min="1028" max="1028" width="24.77734375" style="111" customWidth="1"/>
    <col min="1029" max="1044" width="10.77734375" style="111" customWidth="1"/>
    <col min="1045" max="1280" width="10.77734375" style="111"/>
    <col min="1281" max="1281" width="41" style="111" customWidth="1"/>
    <col min="1282" max="1282" width="11.77734375" style="111" bestFit="1" customWidth="1"/>
    <col min="1283" max="1283" width="21.5546875" style="111" customWidth="1"/>
    <col min="1284" max="1284" width="24.77734375" style="111" customWidth="1"/>
    <col min="1285" max="1300" width="10.77734375" style="111" customWidth="1"/>
    <col min="1301" max="1536" width="10.77734375" style="111"/>
    <col min="1537" max="1537" width="41" style="111" customWidth="1"/>
    <col min="1538" max="1538" width="11.77734375" style="111" bestFit="1" customWidth="1"/>
    <col min="1539" max="1539" width="21.5546875" style="111" customWidth="1"/>
    <col min="1540" max="1540" width="24.77734375" style="111" customWidth="1"/>
    <col min="1541" max="1556" width="10.77734375" style="111" customWidth="1"/>
    <col min="1557" max="1792" width="10.77734375" style="111"/>
    <col min="1793" max="1793" width="41" style="111" customWidth="1"/>
    <col min="1794" max="1794" width="11.77734375" style="111" bestFit="1" customWidth="1"/>
    <col min="1795" max="1795" width="21.5546875" style="111" customWidth="1"/>
    <col min="1796" max="1796" width="24.77734375" style="111" customWidth="1"/>
    <col min="1797" max="1812" width="10.77734375" style="111" customWidth="1"/>
    <col min="1813" max="2048" width="10.77734375" style="111"/>
    <col min="2049" max="2049" width="41" style="111" customWidth="1"/>
    <col min="2050" max="2050" width="11.77734375" style="111" bestFit="1" customWidth="1"/>
    <col min="2051" max="2051" width="21.5546875" style="111" customWidth="1"/>
    <col min="2052" max="2052" width="24.77734375" style="111" customWidth="1"/>
    <col min="2053" max="2068" width="10.77734375" style="111" customWidth="1"/>
    <col min="2069" max="2304" width="10.77734375" style="111"/>
    <col min="2305" max="2305" width="41" style="111" customWidth="1"/>
    <col min="2306" max="2306" width="11.77734375" style="111" bestFit="1" customWidth="1"/>
    <col min="2307" max="2307" width="21.5546875" style="111" customWidth="1"/>
    <col min="2308" max="2308" width="24.77734375" style="111" customWidth="1"/>
    <col min="2309" max="2324" width="10.77734375" style="111" customWidth="1"/>
    <col min="2325" max="2560" width="10.77734375" style="111"/>
    <col min="2561" max="2561" width="41" style="111" customWidth="1"/>
    <col min="2562" max="2562" width="11.77734375" style="111" bestFit="1" customWidth="1"/>
    <col min="2563" max="2563" width="21.5546875" style="111" customWidth="1"/>
    <col min="2564" max="2564" width="24.77734375" style="111" customWidth="1"/>
    <col min="2565" max="2580" width="10.77734375" style="111" customWidth="1"/>
    <col min="2581" max="2816" width="10.77734375" style="111"/>
    <col min="2817" max="2817" width="41" style="111" customWidth="1"/>
    <col min="2818" max="2818" width="11.77734375" style="111" bestFit="1" customWidth="1"/>
    <col min="2819" max="2819" width="21.5546875" style="111" customWidth="1"/>
    <col min="2820" max="2820" width="24.77734375" style="111" customWidth="1"/>
    <col min="2821" max="2836" width="10.77734375" style="111" customWidth="1"/>
    <col min="2837" max="3072" width="10.77734375" style="111"/>
    <col min="3073" max="3073" width="41" style="111" customWidth="1"/>
    <col min="3074" max="3074" width="11.77734375" style="111" bestFit="1" customWidth="1"/>
    <col min="3075" max="3075" width="21.5546875" style="111" customWidth="1"/>
    <col min="3076" max="3076" width="24.77734375" style="111" customWidth="1"/>
    <col min="3077" max="3092" width="10.77734375" style="111" customWidth="1"/>
    <col min="3093" max="3328" width="10.77734375" style="111"/>
    <col min="3329" max="3329" width="41" style="111" customWidth="1"/>
    <col min="3330" max="3330" width="11.77734375" style="111" bestFit="1" customWidth="1"/>
    <col min="3331" max="3331" width="21.5546875" style="111" customWidth="1"/>
    <col min="3332" max="3332" width="24.77734375" style="111" customWidth="1"/>
    <col min="3333" max="3348" width="10.77734375" style="111" customWidth="1"/>
    <col min="3349" max="3584" width="10.77734375" style="111"/>
    <col min="3585" max="3585" width="41" style="111" customWidth="1"/>
    <col min="3586" max="3586" width="11.77734375" style="111" bestFit="1" customWidth="1"/>
    <col min="3587" max="3587" width="21.5546875" style="111" customWidth="1"/>
    <col min="3588" max="3588" width="24.77734375" style="111" customWidth="1"/>
    <col min="3589" max="3604" width="10.77734375" style="111" customWidth="1"/>
    <col min="3605" max="3840" width="10.77734375" style="111"/>
    <col min="3841" max="3841" width="41" style="111" customWidth="1"/>
    <col min="3842" max="3842" width="11.77734375" style="111" bestFit="1" customWidth="1"/>
    <col min="3843" max="3843" width="21.5546875" style="111" customWidth="1"/>
    <col min="3844" max="3844" width="24.77734375" style="111" customWidth="1"/>
    <col min="3845" max="3860" width="10.77734375" style="111" customWidth="1"/>
    <col min="3861" max="4096" width="10.77734375" style="111"/>
    <col min="4097" max="4097" width="41" style="111" customWidth="1"/>
    <col min="4098" max="4098" width="11.77734375" style="111" bestFit="1" customWidth="1"/>
    <col min="4099" max="4099" width="21.5546875" style="111" customWidth="1"/>
    <col min="4100" max="4100" width="24.77734375" style="111" customWidth="1"/>
    <col min="4101" max="4116" width="10.77734375" style="111" customWidth="1"/>
    <col min="4117" max="4352" width="10.77734375" style="111"/>
    <col min="4353" max="4353" width="41" style="111" customWidth="1"/>
    <col min="4354" max="4354" width="11.77734375" style="111" bestFit="1" customWidth="1"/>
    <col min="4355" max="4355" width="21.5546875" style="111" customWidth="1"/>
    <col min="4356" max="4356" width="24.77734375" style="111" customWidth="1"/>
    <col min="4357" max="4372" width="10.77734375" style="111" customWidth="1"/>
    <col min="4373" max="4608" width="10.77734375" style="111"/>
    <col min="4609" max="4609" width="41" style="111" customWidth="1"/>
    <col min="4610" max="4610" width="11.77734375" style="111" bestFit="1" customWidth="1"/>
    <col min="4611" max="4611" width="21.5546875" style="111" customWidth="1"/>
    <col min="4612" max="4612" width="24.77734375" style="111" customWidth="1"/>
    <col min="4613" max="4628" width="10.77734375" style="111" customWidth="1"/>
    <col min="4629" max="4864" width="10.77734375" style="111"/>
    <col min="4865" max="4865" width="41" style="111" customWidth="1"/>
    <col min="4866" max="4866" width="11.77734375" style="111" bestFit="1" customWidth="1"/>
    <col min="4867" max="4867" width="21.5546875" style="111" customWidth="1"/>
    <col min="4868" max="4868" width="24.77734375" style="111" customWidth="1"/>
    <col min="4869" max="4884" width="10.77734375" style="111" customWidth="1"/>
    <col min="4885" max="5120" width="10.77734375" style="111"/>
    <col min="5121" max="5121" width="41" style="111" customWidth="1"/>
    <col min="5122" max="5122" width="11.77734375" style="111" bestFit="1" customWidth="1"/>
    <col min="5123" max="5123" width="21.5546875" style="111" customWidth="1"/>
    <col min="5124" max="5124" width="24.77734375" style="111" customWidth="1"/>
    <col min="5125" max="5140" width="10.77734375" style="111" customWidth="1"/>
    <col min="5141" max="5376" width="10.77734375" style="111"/>
    <col min="5377" max="5377" width="41" style="111" customWidth="1"/>
    <col min="5378" max="5378" width="11.77734375" style="111" bestFit="1" customWidth="1"/>
    <col min="5379" max="5379" width="21.5546875" style="111" customWidth="1"/>
    <col min="5380" max="5380" width="24.77734375" style="111" customWidth="1"/>
    <col min="5381" max="5396" width="10.77734375" style="111" customWidth="1"/>
    <col min="5397" max="5632" width="10.77734375" style="111"/>
    <col min="5633" max="5633" width="41" style="111" customWidth="1"/>
    <col min="5634" max="5634" width="11.77734375" style="111" bestFit="1" customWidth="1"/>
    <col min="5635" max="5635" width="21.5546875" style="111" customWidth="1"/>
    <col min="5636" max="5636" width="24.77734375" style="111" customWidth="1"/>
    <col min="5637" max="5652" width="10.77734375" style="111" customWidth="1"/>
    <col min="5653" max="5888" width="10.77734375" style="111"/>
    <col min="5889" max="5889" width="41" style="111" customWidth="1"/>
    <col min="5890" max="5890" width="11.77734375" style="111" bestFit="1" customWidth="1"/>
    <col min="5891" max="5891" width="21.5546875" style="111" customWidth="1"/>
    <col min="5892" max="5892" width="24.77734375" style="111" customWidth="1"/>
    <col min="5893" max="5908" width="10.77734375" style="111" customWidth="1"/>
    <col min="5909" max="6144" width="10.77734375" style="111"/>
    <col min="6145" max="6145" width="41" style="111" customWidth="1"/>
    <col min="6146" max="6146" width="11.77734375" style="111" bestFit="1" customWidth="1"/>
    <col min="6147" max="6147" width="21.5546875" style="111" customWidth="1"/>
    <col min="6148" max="6148" width="24.77734375" style="111" customWidth="1"/>
    <col min="6149" max="6164" width="10.77734375" style="111" customWidth="1"/>
    <col min="6165" max="6400" width="10.77734375" style="111"/>
    <col min="6401" max="6401" width="41" style="111" customWidth="1"/>
    <col min="6402" max="6402" width="11.77734375" style="111" bestFit="1" customWidth="1"/>
    <col min="6403" max="6403" width="21.5546875" style="111" customWidth="1"/>
    <col min="6404" max="6404" width="24.77734375" style="111" customWidth="1"/>
    <col min="6405" max="6420" width="10.77734375" style="111" customWidth="1"/>
    <col min="6421" max="6656" width="10.77734375" style="111"/>
    <col min="6657" max="6657" width="41" style="111" customWidth="1"/>
    <col min="6658" max="6658" width="11.77734375" style="111" bestFit="1" customWidth="1"/>
    <col min="6659" max="6659" width="21.5546875" style="111" customWidth="1"/>
    <col min="6660" max="6660" width="24.77734375" style="111" customWidth="1"/>
    <col min="6661" max="6676" width="10.77734375" style="111" customWidth="1"/>
    <col min="6677" max="6912" width="10.77734375" style="111"/>
    <col min="6913" max="6913" width="41" style="111" customWidth="1"/>
    <col min="6914" max="6914" width="11.77734375" style="111" bestFit="1" customWidth="1"/>
    <col min="6915" max="6915" width="21.5546875" style="111" customWidth="1"/>
    <col min="6916" max="6916" width="24.77734375" style="111" customWidth="1"/>
    <col min="6917" max="6932" width="10.77734375" style="111" customWidth="1"/>
    <col min="6933" max="7168" width="10.77734375" style="111"/>
    <col min="7169" max="7169" width="41" style="111" customWidth="1"/>
    <col min="7170" max="7170" width="11.77734375" style="111" bestFit="1" customWidth="1"/>
    <col min="7171" max="7171" width="21.5546875" style="111" customWidth="1"/>
    <col min="7172" max="7172" width="24.77734375" style="111" customWidth="1"/>
    <col min="7173" max="7188" width="10.77734375" style="111" customWidth="1"/>
    <col min="7189" max="7424" width="10.77734375" style="111"/>
    <col min="7425" max="7425" width="41" style="111" customWidth="1"/>
    <col min="7426" max="7426" width="11.77734375" style="111" bestFit="1" customWidth="1"/>
    <col min="7427" max="7427" width="21.5546875" style="111" customWidth="1"/>
    <col min="7428" max="7428" width="24.77734375" style="111" customWidth="1"/>
    <col min="7429" max="7444" width="10.77734375" style="111" customWidth="1"/>
    <col min="7445" max="7680" width="10.77734375" style="111"/>
    <col min="7681" max="7681" width="41" style="111" customWidth="1"/>
    <col min="7682" max="7682" width="11.77734375" style="111" bestFit="1" customWidth="1"/>
    <col min="7683" max="7683" width="21.5546875" style="111" customWidth="1"/>
    <col min="7684" max="7684" width="24.77734375" style="111" customWidth="1"/>
    <col min="7685" max="7700" width="10.77734375" style="111" customWidth="1"/>
    <col min="7701" max="7936" width="10.77734375" style="111"/>
    <col min="7937" max="7937" width="41" style="111" customWidth="1"/>
    <col min="7938" max="7938" width="11.77734375" style="111" bestFit="1" customWidth="1"/>
    <col min="7939" max="7939" width="21.5546875" style="111" customWidth="1"/>
    <col min="7940" max="7940" width="24.77734375" style="111" customWidth="1"/>
    <col min="7941" max="7956" width="10.77734375" style="111" customWidth="1"/>
    <col min="7957" max="8192" width="10.77734375" style="111"/>
    <col min="8193" max="8193" width="41" style="111" customWidth="1"/>
    <col min="8194" max="8194" width="11.77734375" style="111" bestFit="1" customWidth="1"/>
    <col min="8195" max="8195" width="21.5546875" style="111" customWidth="1"/>
    <col min="8196" max="8196" width="24.77734375" style="111" customWidth="1"/>
    <col min="8197" max="8212" width="10.77734375" style="111" customWidth="1"/>
    <col min="8213" max="8448" width="10.77734375" style="111"/>
    <col min="8449" max="8449" width="41" style="111" customWidth="1"/>
    <col min="8450" max="8450" width="11.77734375" style="111" bestFit="1" customWidth="1"/>
    <col min="8451" max="8451" width="21.5546875" style="111" customWidth="1"/>
    <col min="8452" max="8452" width="24.77734375" style="111" customWidth="1"/>
    <col min="8453" max="8468" width="10.77734375" style="111" customWidth="1"/>
    <col min="8469" max="8704" width="10.77734375" style="111"/>
    <col min="8705" max="8705" width="41" style="111" customWidth="1"/>
    <col min="8706" max="8706" width="11.77734375" style="111" bestFit="1" customWidth="1"/>
    <col min="8707" max="8707" width="21.5546875" style="111" customWidth="1"/>
    <col min="8708" max="8708" width="24.77734375" style="111" customWidth="1"/>
    <col min="8709" max="8724" width="10.77734375" style="111" customWidth="1"/>
    <col min="8725" max="8960" width="10.77734375" style="111"/>
    <col min="8961" max="8961" width="41" style="111" customWidth="1"/>
    <col min="8962" max="8962" width="11.77734375" style="111" bestFit="1" customWidth="1"/>
    <col min="8963" max="8963" width="21.5546875" style="111" customWidth="1"/>
    <col min="8964" max="8964" width="24.77734375" style="111" customWidth="1"/>
    <col min="8965" max="8980" width="10.77734375" style="111" customWidth="1"/>
    <col min="8981" max="9216" width="10.77734375" style="111"/>
    <col min="9217" max="9217" width="41" style="111" customWidth="1"/>
    <col min="9218" max="9218" width="11.77734375" style="111" bestFit="1" customWidth="1"/>
    <col min="9219" max="9219" width="21.5546875" style="111" customWidth="1"/>
    <col min="9220" max="9220" width="24.77734375" style="111" customWidth="1"/>
    <col min="9221" max="9236" width="10.77734375" style="111" customWidth="1"/>
    <col min="9237" max="9472" width="10.77734375" style="111"/>
    <col min="9473" max="9473" width="41" style="111" customWidth="1"/>
    <col min="9474" max="9474" width="11.77734375" style="111" bestFit="1" customWidth="1"/>
    <col min="9475" max="9475" width="21.5546875" style="111" customWidth="1"/>
    <col min="9476" max="9476" width="24.77734375" style="111" customWidth="1"/>
    <col min="9477" max="9492" width="10.77734375" style="111" customWidth="1"/>
    <col min="9493" max="9728" width="10.77734375" style="111"/>
    <col min="9729" max="9729" width="41" style="111" customWidth="1"/>
    <col min="9730" max="9730" width="11.77734375" style="111" bestFit="1" customWidth="1"/>
    <col min="9731" max="9731" width="21.5546875" style="111" customWidth="1"/>
    <col min="9732" max="9732" width="24.77734375" style="111" customWidth="1"/>
    <col min="9733" max="9748" width="10.77734375" style="111" customWidth="1"/>
    <col min="9749" max="9984" width="10.77734375" style="111"/>
    <col min="9985" max="9985" width="41" style="111" customWidth="1"/>
    <col min="9986" max="9986" width="11.77734375" style="111" bestFit="1" customWidth="1"/>
    <col min="9987" max="9987" width="21.5546875" style="111" customWidth="1"/>
    <col min="9988" max="9988" width="24.77734375" style="111" customWidth="1"/>
    <col min="9989" max="10004" width="10.77734375" style="111" customWidth="1"/>
    <col min="10005" max="10240" width="10.77734375" style="111"/>
    <col min="10241" max="10241" width="41" style="111" customWidth="1"/>
    <col min="10242" max="10242" width="11.77734375" style="111" bestFit="1" customWidth="1"/>
    <col min="10243" max="10243" width="21.5546875" style="111" customWidth="1"/>
    <col min="10244" max="10244" width="24.77734375" style="111" customWidth="1"/>
    <col min="10245" max="10260" width="10.77734375" style="111" customWidth="1"/>
    <col min="10261" max="10496" width="10.77734375" style="111"/>
    <col min="10497" max="10497" width="41" style="111" customWidth="1"/>
    <col min="10498" max="10498" width="11.77734375" style="111" bestFit="1" customWidth="1"/>
    <col min="10499" max="10499" width="21.5546875" style="111" customWidth="1"/>
    <col min="10500" max="10500" width="24.77734375" style="111" customWidth="1"/>
    <col min="10501" max="10516" width="10.77734375" style="111" customWidth="1"/>
    <col min="10517" max="10752" width="10.77734375" style="111"/>
    <col min="10753" max="10753" width="41" style="111" customWidth="1"/>
    <col min="10754" max="10754" width="11.77734375" style="111" bestFit="1" customWidth="1"/>
    <col min="10755" max="10755" width="21.5546875" style="111" customWidth="1"/>
    <col min="10756" max="10756" width="24.77734375" style="111" customWidth="1"/>
    <col min="10757" max="10772" width="10.77734375" style="111" customWidth="1"/>
    <col min="10773" max="11008" width="10.77734375" style="111"/>
    <col min="11009" max="11009" width="41" style="111" customWidth="1"/>
    <col min="11010" max="11010" width="11.77734375" style="111" bestFit="1" customWidth="1"/>
    <col min="11011" max="11011" width="21.5546875" style="111" customWidth="1"/>
    <col min="11012" max="11012" width="24.77734375" style="111" customWidth="1"/>
    <col min="11013" max="11028" width="10.77734375" style="111" customWidth="1"/>
    <col min="11029" max="11264" width="10.77734375" style="111"/>
    <col min="11265" max="11265" width="41" style="111" customWidth="1"/>
    <col min="11266" max="11266" width="11.77734375" style="111" bestFit="1" customWidth="1"/>
    <col min="11267" max="11267" width="21.5546875" style="111" customWidth="1"/>
    <col min="11268" max="11268" width="24.77734375" style="111" customWidth="1"/>
    <col min="11269" max="11284" width="10.77734375" style="111" customWidth="1"/>
    <col min="11285" max="11520" width="10.77734375" style="111"/>
    <col min="11521" max="11521" width="41" style="111" customWidth="1"/>
    <col min="11522" max="11522" width="11.77734375" style="111" bestFit="1" customWidth="1"/>
    <col min="11523" max="11523" width="21.5546875" style="111" customWidth="1"/>
    <col min="11524" max="11524" width="24.77734375" style="111" customWidth="1"/>
    <col min="11525" max="11540" width="10.77734375" style="111" customWidth="1"/>
    <col min="11541" max="11776" width="10.77734375" style="111"/>
    <col min="11777" max="11777" width="41" style="111" customWidth="1"/>
    <col min="11778" max="11778" width="11.77734375" style="111" bestFit="1" customWidth="1"/>
    <col min="11779" max="11779" width="21.5546875" style="111" customWidth="1"/>
    <col min="11780" max="11780" width="24.77734375" style="111" customWidth="1"/>
    <col min="11781" max="11796" width="10.77734375" style="111" customWidth="1"/>
    <col min="11797" max="12032" width="10.77734375" style="111"/>
    <col min="12033" max="12033" width="41" style="111" customWidth="1"/>
    <col min="12034" max="12034" width="11.77734375" style="111" bestFit="1" customWidth="1"/>
    <col min="12035" max="12035" width="21.5546875" style="111" customWidth="1"/>
    <col min="12036" max="12036" width="24.77734375" style="111" customWidth="1"/>
    <col min="12037" max="12052" width="10.77734375" style="111" customWidth="1"/>
    <col min="12053" max="12288" width="10.77734375" style="111"/>
    <col min="12289" max="12289" width="41" style="111" customWidth="1"/>
    <col min="12290" max="12290" width="11.77734375" style="111" bestFit="1" customWidth="1"/>
    <col min="12291" max="12291" width="21.5546875" style="111" customWidth="1"/>
    <col min="12292" max="12292" width="24.77734375" style="111" customWidth="1"/>
    <col min="12293" max="12308" width="10.77734375" style="111" customWidth="1"/>
    <col min="12309" max="12544" width="10.77734375" style="111"/>
    <col min="12545" max="12545" width="41" style="111" customWidth="1"/>
    <col min="12546" max="12546" width="11.77734375" style="111" bestFit="1" customWidth="1"/>
    <col min="12547" max="12547" width="21.5546875" style="111" customWidth="1"/>
    <col min="12548" max="12548" width="24.77734375" style="111" customWidth="1"/>
    <col min="12549" max="12564" width="10.77734375" style="111" customWidth="1"/>
    <col min="12565" max="12800" width="10.77734375" style="111"/>
    <col min="12801" max="12801" width="41" style="111" customWidth="1"/>
    <col min="12802" max="12802" width="11.77734375" style="111" bestFit="1" customWidth="1"/>
    <col min="12803" max="12803" width="21.5546875" style="111" customWidth="1"/>
    <col min="12804" max="12804" width="24.77734375" style="111" customWidth="1"/>
    <col min="12805" max="12820" width="10.77734375" style="111" customWidth="1"/>
    <col min="12821" max="13056" width="10.77734375" style="111"/>
    <col min="13057" max="13057" width="41" style="111" customWidth="1"/>
    <col min="13058" max="13058" width="11.77734375" style="111" bestFit="1" customWidth="1"/>
    <col min="13059" max="13059" width="21.5546875" style="111" customWidth="1"/>
    <col min="13060" max="13060" width="24.77734375" style="111" customWidth="1"/>
    <col min="13061" max="13076" width="10.77734375" style="111" customWidth="1"/>
    <col min="13077" max="13312" width="10.77734375" style="111"/>
    <col min="13313" max="13313" width="41" style="111" customWidth="1"/>
    <col min="13314" max="13314" width="11.77734375" style="111" bestFit="1" customWidth="1"/>
    <col min="13315" max="13315" width="21.5546875" style="111" customWidth="1"/>
    <col min="13316" max="13316" width="24.77734375" style="111" customWidth="1"/>
    <col min="13317" max="13332" width="10.77734375" style="111" customWidth="1"/>
    <col min="13333" max="13568" width="10.77734375" style="111"/>
    <col min="13569" max="13569" width="41" style="111" customWidth="1"/>
    <col min="13570" max="13570" width="11.77734375" style="111" bestFit="1" customWidth="1"/>
    <col min="13571" max="13571" width="21.5546875" style="111" customWidth="1"/>
    <col min="13572" max="13572" width="24.77734375" style="111" customWidth="1"/>
    <col min="13573" max="13588" width="10.77734375" style="111" customWidth="1"/>
    <col min="13589" max="13824" width="10.77734375" style="111"/>
    <col min="13825" max="13825" width="41" style="111" customWidth="1"/>
    <col min="13826" max="13826" width="11.77734375" style="111" bestFit="1" customWidth="1"/>
    <col min="13827" max="13827" width="21.5546875" style="111" customWidth="1"/>
    <col min="13828" max="13828" width="24.77734375" style="111" customWidth="1"/>
    <col min="13829" max="13844" width="10.77734375" style="111" customWidth="1"/>
    <col min="13845" max="14080" width="10.77734375" style="111"/>
    <col min="14081" max="14081" width="41" style="111" customWidth="1"/>
    <col min="14082" max="14082" width="11.77734375" style="111" bestFit="1" customWidth="1"/>
    <col min="14083" max="14083" width="21.5546875" style="111" customWidth="1"/>
    <col min="14084" max="14084" width="24.77734375" style="111" customWidth="1"/>
    <col min="14085" max="14100" width="10.77734375" style="111" customWidth="1"/>
    <col min="14101" max="14336" width="10.77734375" style="111"/>
    <col min="14337" max="14337" width="41" style="111" customWidth="1"/>
    <col min="14338" max="14338" width="11.77734375" style="111" bestFit="1" customWidth="1"/>
    <col min="14339" max="14339" width="21.5546875" style="111" customWidth="1"/>
    <col min="14340" max="14340" width="24.77734375" style="111" customWidth="1"/>
    <col min="14341" max="14356" width="10.77734375" style="111" customWidth="1"/>
    <col min="14357" max="14592" width="10.77734375" style="111"/>
    <col min="14593" max="14593" width="41" style="111" customWidth="1"/>
    <col min="14594" max="14594" width="11.77734375" style="111" bestFit="1" customWidth="1"/>
    <col min="14595" max="14595" width="21.5546875" style="111" customWidth="1"/>
    <col min="14596" max="14596" width="24.77734375" style="111" customWidth="1"/>
    <col min="14597" max="14612" width="10.77734375" style="111" customWidth="1"/>
    <col min="14613" max="14848" width="10.77734375" style="111"/>
    <col min="14849" max="14849" width="41" style="111" customWidth="1"/>
    <col min="14850" max="14850" width="11.77734375" style="111" bestFit="1" customWidth="1"/>
    <col min="14851" max="14851" width="21.5546875" style="111" customWidth="1"/>
    <col min="14852" max="14852" width="24.77734375" style="111" customWidth="1"/>
    <col min="14853" max="14868" width="10.77734375" style="111" customWidth="1"/>
    <col min="14869" max="15104" width="10.77734375" style="111"/>
    <col min="15105" max="15105" width="41" style="111" customWidth="1"/>
    <col min="15106" max="15106" width="11.77734375" style="111" bestFit="1" customWidth="1"/>
    <col min="15107" max="15107" width="21.5546875" style="111" customWidth="1"/>
    <col min="15108" max="15108" width="24.77734375" style="111" customWidth="1"/>
    <col min="15109" max="15124" width="10.77734375" style="111" customWidth="1"/>
    <col min="15125" max="15360" width="10.77734375" style="111"/>
    <col min="15361" max="15361" width="41" style="111" customWidth="1"/>
    <col min="15362" max="15362" width="11.77734375" style="111" bestFit="1" customWidth="1"/>
    <col min="15363" max="15363" width="21.5546875" style="111" customWidth="1"/>
    <col min="15364" max="15364" width="24.77734375" style="111" customWidth="1"/>
    <col min="15365" max="15380" width="10.77734375" style="111" customWidth="1"/>
    <col min="15381" max="15616" width="10.77734375" style="111"/>
    <col min="15617" max="15617" width="41" style="111" customWidth="1"/>
    <col min="15618" max="15618" width="11.77734375" style="111" bestFit="1" customWidth="1"/>
    <col min="15619" max="15619" width="21.5546875" style="111" customWidth="1"/>
    <col min="15620" max="15620" width="24.77734375" style="111" customWidth="1"/>
    <col min="15621" max="15636" width="10.77734375" style="111" customWidth="1"/>
    <col min="15637" max="15872" width="10.77734375" style="111"/>
    <col min="15873" max="15873" width="41" style="111" customWidth="1"/>
    <col min="15874" max="15874" width="11.77734375" style="111" bestFit="1" customWidth="1"/>
    <col min="15875" max="15875" width="21.5546875" style="111" customWidth="1"/>
    <col min="15876" max="15876" width="24.77734375" style="111" customWidth="1"/>
    <col min="15877" max="15892" width="10.77734375" style="111" customWidth="1"/>
    <col min="15893" max="16128" width="10.77734375" style="111"/>
    <col min="16129" max="16129" width="41" style="111" customWidth="1"/>
    <col min="16130" max="16130" width="11.77734375" style="111" bestFit="1" customWidth="1"/>
    <col min="16131" max="16131" width="21.5546875" style="111" customWidth="1"/>
    <col min="16132" max="16132" width="24.77734375" style="111" customWidth="1"/>
    <col min="16133" max="16148" width="10.77734375" style="111" customWidth="1"/>
    <col min="16149" max="16384" width="10.77734375" style="111"/>
  </cols>
  <sheetData>
    <row r="1" spans="1:8" s="65" customFormat="1" ht="18" customHeight="1">
      <c r="A1" s="238" t="s">
        <v>61</v>
      </c>
      <c r="B1" s="238"/>
      <c r="C1" s="238"/>
      <c r="D1" s="238"/>
      <c r="E1" s="64"/>
      <c r="F1" s="64"/>
      <c r="G1" s="64"/>
      <c r="H1" s="64"/>
    </row>
    <row r="2" spans="1:8" s="65" customFormat="1" ht="15.6">
      <c r="A2" s="239" t="s">
        <v>62</v>
      </c>
      <c r="B2" s="239"/>
      <c r="C2" s="239"/>
      <c r="D2" s="239"/>
    </row>
    <row r="3" spans="1:8" s="65" customFormat="1" ht="15" customHeight="1">
      <c r="A3" s="240" t="s">
        <v>63</v>
      </c>
      <c r="B3" s="240"/>
      <c r="C3" s="240"/>
      <c r="D3" s="240"/>
    </row>
    <row r="4" spans="1:8" s="66" customFormat="1" ht="15" customHeight="1">
      <c r="A4" s="241" t="s">
        <v>64</v>
      </c>
      <c r="B4" s="241"/>
      <c r="C4" s="241"/>
      <c r="D4" s="241"/>
      <c r="E4" s="65"/>
      <c r="F4" s="65"/>
      <c r="G4" s="65"/>
      <c r="H4" s="65"/>
    </row>
    <row r="5" spans="1:8" s="66" customFormat="1">
      <c r="C5" s="242" t="s">
        <v>155</v>
      </c>
      <c r="D5" s="243"/>
    </row>
    <row r="6" spans="1:8" s="66" customFormat="1">
      <c r="A6" s="67" t="s">
        <v>65</v>
      </c>
      <c r="B6" s="68" t="s">
        <v>66</v>
      </c>
      <c r="C6" s="69" t="s">
        <v>67</v>
      </c>
      <c r="D6" s="69" t="s">
        <v>68</v>
      </c>
    </row>
    <row r="7" spans="1:8" s="65" customFormat="1">
      <c r="A7" s="70" t="s">
        <v>69</v>
      </c>
      <c r="B7" s="67"/>
      <c r="C7" s="71"/>
      <c r="D7" s="71"/>
      <c r="E7" s="66"/>
      <c r="F7" s="66"/>
      <c r="G7" s="66"/>
      <c r="H7" s="66"/>
    </row>
    <row r="8" spans="1:8" s="65" customFormat="1">
      <c r="A8" s="72" t="s">
        <v>70</v>
      </c>
      <c r="B8" s="73"/>
      <c r="C8" s="74">
        <v>1300</v>
      </c>
      <c r="D8" s="74">
        <v>1300</v>
      </c>
      <c r="E8" s="66"/>
      <c r="F8" s="66"/>
      <c r="G8" s="66"/>
      <c r="H8" s="66"/>
    </row>
    <row r="9" spans="1:8" s="65" customFormat="1">
      <c r="A9" s="75" t="s">
        <v>71</v>
      </c>
      <c r="B9" s="76">
        <v>10</v>
      </c>
      <c r="C9" s="77">
        <f>0.1*C8</f>
        <v>130</v>
      </c>
      <c r="D9" s="77">
        <f>0.1*D8</f>
        <v>130</v>
      </c>
    </row>
    <row r="10" spans="1:8" s="65" customFormat="1">
      <c r="A10" s="78" t="s">
        <v>72</v>
      </c>
      <c r="B10" s="79"/>
      <c r="C10" s="80"/>
      <c r="D10" s="81"/>
    </row>
    <row r="11" spans="1:8" s="65" customFormat="1" ht="22.5" customHeight="1">
      <c r="A11" s="78" t="s">
        <v>73</v>
      </c>
      <c r="B11" s="76">
        <v>35</v>
      </c>
      <c r="C11" s="82">
        <v>0</v>
      </c>
      <c r="D11" s="77">
        <f>D8*0.35</f>
        <v>454.99999999999994</v>
      </c>
    </row>
    <row r="12" spans="1:8" s="65" customFormat="1">
      <c r="A12" s="75" t="s">
        <v>74</v>
      </c>
      <c r="B12" s="76">
        <v>25</v>
      </c>
      <c r="C12" s="77">
        <f>(((C8+C9)/30)/8)*1.25*2*20</f>
        <v>297.91666666666663</v>
      </c>
      <c r="D12" s="77">
        <f>(((D8+D9+D11)/30)/8)*1.25*2*20</f>
        <v>392.70833333333337</v>
      </c>
    </row>
    <row r="13" spans="1:8" s="65" customFormat="1" ht="13.8" thickBot="1">
      <c r="A13" s="83" t="s">
        <v>75</v>
      </c>
      <c r="B13" s="84">
        <v>35</v>
      </c>
      <c r="C13" s="85">
        <f>(((C8+C9)/30)/8)*1.35*2*20</f>
        <v>321.75</v>
      </c>
      <c r="D13" s="85">
        <f>(((D8+D9+D11)/30)/8)*1.35*2*20</f>
        <v>424.125</v>
      </c>
      <c r="E13" s="90"/>
    </row>
    <row r="14" spans="1:8" s="65" customFormat="1" ht="13.8" thickBot="1">
      <c r="A14" s="86" t="s">
        <v>76</v>
      </c>
      <c r="B14" s="87"/>
      <c r="C14" s="88">
        <f>SUM(C8:C13)</f>
        <v>2049.6666666666665</v>
      </c>
      <c r="D14" s="89">
        <f>SUM(D8:D13)</f>
        <v>2701.8333333333335</v>
      </c>
      <c r="E14" s="90"/>
      <c r="F14" s="90"/>
      <c r="H14" s="90"/>
    </row>
    <row r="15" spans="1:8" s="65" customFormat="1">
      <c r="A15" s="91" t="s">
        <v>77</v>
      </c>
      <c r="B15" s="92"/>
      <c r="C15" s="93">
        <f>+((C8/30)/8*2)*12</f>
        <v>130</v>
      </c>
      <c r="D15" s="93">
        <f>+((D8/30)/8*2)*12</f>
        <v>130</v>
      </c>
    </row>
    <row r="16" spans="1:8" s="65" customFormat="1" ht="24.75" customHeight="1" thickBot="1">
      <c r="A16" s="83" t="s">
        <v>78</v>
      </c>
      <c r="B16" s="84"/>
      <c r="C16" s="94"/>
      <c r="D16" s="94"/>
    </row>
    <row r="17" spans="1:8" s="65" customFormat="1" ht="13.8" thickBot="1">
      <c r="A17" s="86" t="s">
        <v>79</v>
      </c>
      <c r="B17" s="95"/>
      <c r="C17" s="88">
        <f>SUM(C14:C16)</f>
        <v>2179.6666666666665</v>
      </c>
      <c r="D17" s="89">
        <f>SUM(D14:D16)</f>
        <v>2831.8333333333335</v>
      </c>
    </row>
    <row r="18" spans="1:8" s="65" customFormat="1" ht="20.399999999999999">
      <c r="A18" s="96" t="s">
        <v>80</v>
      </c>
      <c r="B18" s="92">
        <v>8.33</v>
      </c>
      <c r="C18" s="93">
        <f>+C17*$B$18/100/2</f>
        <v>90.783116666666672</v>
      </c>
      <c r="D18" s="93">
        <f>+D17*$B$18/100/2</f>
        <v>117.94585833333335</v>
      </c>
    </row>
    <row r="19" spans="1:8" s="65" customFormat="1" ht="20.399999999999999">
      <c r="A19" s="78" t="s">
        <v>81</v>
      </c>
      <c r="B19" s="76">
        <v>16.670000000000002</v>
      </c>
      <c r="C19" s="97">
        <f>+C17*$B$19/100/2</f>
        <v>181.67521666666667</v>
      </c>
      <c r="D19" s="97">
        <f>+D17*$B$19/100/2</f>
        <v>236.03330833333337</v>
      </c>
    </row>
    <row r="20" spans="1:8" s="65" customFormat="1">
      <c r="A20" s="98" t="s">
        <v>82</v>
      </c>
      <c r="B20" s="99">
        <v>9</v>
      </c>
      <c r="C20" s="100">
        <f>+C19*$B$20/100</f>
        <v>16.350769500000002</v>
      </c>
      <c r="D20" s="100">
        <f>+D19*$B$20/100</f>
        <v>21.242997750000004</v>
      </c>
    </row>
    <row r="21" spans="1:8" s="65" customFormat="1" ht="13.8" thickBot="1">
      <c r="A21" s="101" t="s">
        <v>83</v>
      </c>
      <c r="B21" s="84">
        <v>9.7200000000000006</v>
      </c>
      <c r="C21" s="94">
        <f>+C17*$B$21/100/2</f>
        <v>105.93180000000001</v>
      </c>
      <c r="D21" s="94">
        <f>+D17*$B$21/100/2</f>
        <v>137.62710000000001</v>
      </c>
    </row>
    <row r="22" spans="1:8" s="65" customFormat="1" ht="13.8" thickBot="1">
      <c r="A22" s="86" t="s">
        <v>84</v>
      </c>
      <c r="B22" s="87"/>
      <c r="C22" s="88">
        <f>SUM(C17:C21)</f>
        <v>2574.4075694999992</v>
      </c>
      <c r="D22" s="88">
        <f>SUM(D17:D21)</f>
        <v>3344.6825977500007</v>
      </c>
    </row>
    <row r="23" spans="1:8" s="65" customFormat="1">
      <c r="A23" s="102" t="s">
        <v>85</v>
      </c>
      <c r="B23" s="92"/>
      <c r="C23" s="103"/>
      <c r="D23" s="103"/>
    </row>
    <row r="24" spans="1:8" s="66" customFormat="1">
      <c r="A24" s="75" t="s">
        <v>86</v>
      </c>
      <c r="B24" s="76">
        <v>9</v>
      </c>
      <c r="C24" s="97">
        <f>+(C17+C18)*$B$24/100</f>
        <v>204.34048049999998</v>
      </c>
      <c r="D24" s="97">
        <f>+(D17+D18)*$B$24/100</f>
        <v>265.48012725000007</v>
      </c>
      <c r="E24" s="65"/>
      <c r="F24" s="65"/>
      <c r="G24" s="65"/>
      <c r="H24" s="65"/>
    </row>
    <row r="25" spans="1:8" s="65" customFormat="1">
      <c r="A25" s="78" t="s">
        <v>87</v>
      </c>
      <c r="B25" s="76">
        <v>1.5</v>
      </c>
      <c r="C25" s="97"/>
      <c r="D25" s="97"/>
    </row>
    <row r="26" spans="1:8" s="65" customFormat="1">
      <c r="A26" s="70" t="s">
        <v>88</v>
      </c>
      <c r="B26" s="70"/>
      <c r="C26" s="104">
        <f>SUM(C22:C25)</f>
        <v>2778.7480499999992</v>
      </c>
      <c r="D26" s="104">
        <f>SUM(D22:D25)</f>
        <v>3610.1627250000006</v>
      </c>
      <c r="E26" s="66"/>
      <c r="F26" s="66"/>
      <c r="G26" s="66"/>
      <c r="H26" s="66"/>
    </row>
    <row r="27" spans="1:8" s="65" customFormat="1">
      <c r="A27" s="105" t="s">
        <v>89</v>
      </c>
      <c r="B27" s="106"/>
      <c r="C27" s="74"/>
      <c r="D27" s="74"/>
    </row>
    <row r="28" spans="1:8" s="66" customFormat="1">
      <c r="A28" s="105" t="s">
        <v>90</v>
      </c>
      <c r="B28" s="106"/>
      <c r="C28" s="74"/>
      <c r="D28" s="74"/>
      <c r="E28" s="65"/>
      <c r="F28" s="65"/>
      <c r="G28" s="65"/>
      <c r="H28" s="65"/>
    </row>
    <row r="29" spans="1:8" s="65" customFormat="1">
      <c r="A29" s="105" t="s">
        <v>91</v>
      </c>
      <c r="B29" s="106"/>
      <c r="C29" s="74"/>
      <c r="D29" s="74"/>
    </row>
    <row r="30" spans="1:8" s="65" customFormat="1">
      <c r="A30" s="107" t="s">
        <v>92</v>
      </c>
      <c r="B30" s="106"/>
      <c r="C30" s="74"/>
      <c r="D30" s="74"/>
    </row>
    <row r="31" spans="1:8" s="65" customFormat="1">
      <c r="A31" s="73" t="s">
        <v>93</v>
      </c>
      <c r="B31" s="106"/>
      <c r="C31" s="104">
        <f>SUM(C26:C30)</f>
        <v>2778.7480499999992</v>
      </c>
      <c r="D31" s="104">
        <f>SUM(D26:D30)</f>
        <v>3610.1627250000006</v>
      </c>
      <c r="E31" s="66"/>
      <c r="F31" s="66"/>
      <c r="G31" s="66"/>
      <c r="H31" s="66"/>
    </row>
    <row r="32" spans="1:8" s="65" customFormat="1">
      <c r="A32" s="105" t="s">
        <v>94</v>
      </c>
      <c r="B32" s="106"/>
      <c r="C32" s="74"/>
      <c r="D32" s="108"/>
    </row>
    <row r="33" spans="1:8" s="65" customFormat="1">
      <c r="A33" s="105" t="s">
        <v>95</v>
      </c>
      <c r="B33" s="106"/>
      <c r="C33" s="74"/>
      <c r="D33" s="108"/>
    </row>
    <row r="34" spans="1:8" s="65" customFormat="1">
      <c r="A34" s="109" t="s">
        <v>96</v>
      </c>
      <c r="B34" s="106"/>
      <c r="C34" s="110">
        <f>SUM(C31:C33)</f>
        <v>2778.7480499999992</v>
      </c>
      <c r="D34" s="110">
        <f>SUM(D31:D33)</f>
        <v>3610.1627250000006</v>
      </c>
    </row>
    <row r="35" spans="1:8">
      <c r="A35" s="75" t="s">
        <v>97</v>
      </c>
      <c r="B35" s="106"/>
      <c r="C35" s="97"/>
      <c r="D35" s="97"/>
      <c r="E35" s="65"/>
      <c r="F35" s="65"/>
      <c r="G35" s="65"/>
      <c r="H35" s="65"/>
    </row>
    <row r="36" spans="1:8">
      <c r="A36" s="109" t="s">
        <v>98</v>
      </c>
      <c r="B36" s="106"/>
      <c r="C36" s="116">
        <f>SUM(C34:C35)</f>
        <v>2778.7480499999992</v>
      </c>
      <c r="D36" s="116">
        <f>SUM(D34:D35)</f>
        <v>3610.1627250000006</v>
      </c>
      <c r="E36" s="65"/>
      <c r="F36" s="65"/>
      <c r="G36" s="65"/>
      <c r="H36" s="65"/>
    </row>
    <row r="37" spans="1:8" s="65" customFormat="1" ht="13.95" customHeight="1">
      <c r="A37" s="109" t="s">
        <v>99</v>
      </c>
      <c r="B37" s="106"/>
      <c r="C37" s="236">
        <f>SUM(C36:D36)</f>
        <v>6388.9107750000003</v>
      </c>
      <c r="D37" s="237"/>
      <c r="E37" s="111"/>
      <c r="F37" s="111"/>
      <c r="G37" s="111"/>
      <c r="H37" s="111"/>
    </row>
    <row r="38" spans="1:8" s="65" customFormat="1" ht="12.6" customHeight="1">
      <c r="A38" s="121" t="s">
        <v>101</v>
      </c>
      <c r="B38" s="118"/>
      <c r="C38" s="122">
        <f>+C37/2</f>
        <v>3194.4553875000001</v>
      </c>
      <c r="D38" s="114"/>
      <c r="E38" s="111"/>
      <c r="F38" s="111"/>
      <c r="G38" s="111"/>
      <c r="H38" s="111"/>
    </row>
    <row r="39" spans="1:8" s="65" customFormat="1" ht="12.6" customHeight="1">
      <c r="A39" s="112"/>
      <c r="B39" s="113"/>
      <c r="C39" s="114"/>
      <c r="D39" s="114"/>
      <c r="E39" s="111"/>
      <c r="F39" s="111"/>
      <c r="G39" s="111"/>
      <c r="H39" s="111"/>
    </row>
  </sheetData>
  <mergeCells count="6">
    <mergeCell ref="C37:D37"/>
    <mergeCell ref="A1:D1"/>
    <mergeCell ref="A2:D2"/>
    <mergeCell ref="A3:D3"/>
    <mergeCell ref="A4:D4"/>
    <mergeCell ref="C5:D5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B2:C14"/>
  <sheetViews>
    <sheetView workbookViewId="0">
      <selection activeCell="C5" sqref="C5"/>
    </sheetView>
  </sheetViews>
  <sheetFormatPr baseColWidth="10" defaultRowHeight="14.4"/>
  <cols>
    <col min="2" max="2" width="91.88671875" bestFit="1" customWidth="1"/>
  </cols>
  <sheetData>
    <row r="2" spans="2:3">
      <c r="B2" s="124" t="s">
        <v>103</v>
      </c>
    </row>
    <row r="3" spans="2:3">
      <c r="C3" t="s">
        <v>106</v>
      </c>
    </row>
    <row r="4" spans="2:3">
      <c r="B4" s="127" t="s">
        <v>112</v>
      </c>
      <c r="C4" s="128">
        <f>250*2</f>
        <v>500</v>
      </c>
    </row>
    <row r="5" spans="2:3">
      <c r="B5" s="127" t="s">
        <v>111</v>
      </c>
      <c r="C5" s="128">
        <f>120*4</f>
        <v>480</v>
      </c>
    </row>
    <row r="6" spans="2:3">
      <c r="B6" s="127" t="s">
        <v>104</v>
      </c>
      <c r="C6" s="128">
        <f>150*2</f>
        <v>300</v>
      </c>
    </row>
    <row r="7" spans="2:3">
      <c r="B7" s="127" t="s">
        <v>107</v>
      </c>
      <c r="C7" s="128">
        <v>24</v>
      </c>
    </row>
    <row r="8" spans="2:3">
      <c r="B8" s="127" t="s">
        <v>108</v>
      </c>
      <c r="C8" s="128">
        <f>600*4</f>
        <v>2400</v>
      </c>
    </row>
    <row r="9" spans="2:3">
      <c r="B9" s="127" t="s">
        <v>105</v>
      </c>
      <c r="C9" s="128">
        <v>1200</v>
      </c>
    </row>
    <row r="10" spans="2:3">
      <c r="B10" s="127" t="s">
        <v>113</v>
      </c>
      <c r="C10" s="128">
        <v>350</v>
      </c>
    </row>
    <row r="11" spans="2:3">
      <c r="B11" s="127" t="s">
        <v>114</v>
      </c>
      <c r="C11" s="128">
        <v>220</v>
      </c>
    </row>
    <row r="12" spans="2:3">
      <c r="B12" s="127" t="s">
        <v>115</v>
      </c>
      <c r="C12" s="128">
        <v>420</v>
      </c>
    </row>
    <row r="13" spans="2:3">
      <c r="B13" s="133" t="s">
        <v>109</v>
      </c>
      <c r="C13" s="128">
        <f>SUM(C4:C12)</f>
        <v>5894</v>
      </c>
    </row>
    <row r="14" spans="2:3">
      <c r="B14" t="s">
        <v>110</v>
      </c>
      <c r="C14" s="125">
        <f>+C13/12</f>
        <v>491.16666666666669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C3:F8"/>
  <sheetViews>
    <sheetView workbookViewId="0">
      <selection activeCell="C6" sqref="C6"/>
    </sheetView>
  </sheetViews>
  <sheetFormatPr baseColWidth="10" defaultRowHeight="14.4"/>
  <sheetData>
    <row r="3" spans="3:6">
      <c r="C3" s="124" t="s">
        <v>116</v>
      </c>
    </row>
    <row r="5" spans="3:6">
      <c r="C5" t="s">
        <v>169</v>
      </c>
      <c r="F5">
        <f>700*2</f>
        <v>1400</v>
      </c>
    </row>
    <row r="6" spans="3:6">
      <c r="C6" t="s">
        <v>117</v>
      </c>
      <c r="F6">
        <v>70</v>
      </c>
    </row>
    <row r="8" spans="3:6">
      <c r="D8" t="s">
        <v>109</v>
      </c>
      <c r="F8">
        <f>SUM(F5:F6)</f>
        <v>1470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C3:F8"/>
  <sheetViews>
    <sheetView workbookViewId="0">
      <selection activeCell="F6" sqref="F6"/>
    </sheetView>
  </sheetViews>
  <sheetFormatPr baseColWidth="10" defaultRowHeight="14.4"/>
  <sheetData>
    <row r="3" spans="3:6">
      <c r="C3" s="124" t="s">
        <v>118</v>
      </c>
    </row>
    <row r="5" spans="3:6">
      <c r="C5" t="s">
        <v>119</v>
      </c>
      <c r="F5" s="125">
        <f>240*30</f>
        <v>7200</v>
      </c>
    </row>
    <row r="6" spans="3:6">
      <c r="C6" t="s">
        <v>120</v>
      </c>
      <c r="F6" s="126">
        <f>70*30</f>
        <v>2100</v>
      </c>
    </row>
    <row r="8" spans="3:6">
      <c r="C8" t="s">
        <v>18</v>
      </c>
      <c r="F8" s="125">
        <f>+F5+F6</f>
        <v>9300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G13"/>
  <sheetViews>
    <sheetView workbookViewId="0">
      <selection activeCell="F13" sqref="F13"/>
    </sheetView>
  </sheetViews>
  <sheetFormatPr baseColWidth="10" defaultRowHeight="14.4"/>
  <cols>
    <col min="6" max="6" width="13.109375" bestFit="1" customWidth="1"/>
    <col min="7" max="7" width="13.5546875" bestFit="1" customWidth="1"/>
  </cols>
  <sheetData>
    <row r="2" spans="2:7">
      <c r="B2" s="124" t="s">
        <v>132</v>
      </c>
    </row>
    <row r="3" spans="2:7">
      <c r="F3" s="127" t="s">
        <v>123</v>
      </c>
      <c r="G3" s="127" t="s">
        <v>124</v>
      </c>
    </row>
    <row r="4" spans="2:7">
      <c r="B4" t="s">
        <v>128</v>
      </c>
      <c r="F4" s="128">
        <f>45*13</f>
        <v>585</v>
      </c>
      <c r="G4" s="135">
        <f t="shared" ref="G4:G10" si="0">+F4</f>
        <v>585</v>
      </c>
    </row>
    <row r="5" spans="2:7">
      <c r="B5" t="s">
        <v>121</v>
      </c>
      <c r="F5" s="128">
        <f>90*12</f>
        <v>1080</v>
      </c>
      <c r="G5" s="128">
        <f t="shared" si="0"/>
        <v>1080</v>
      </c>
    </row>
    <row r="6" spans="2:7">
      <c r="B6" t="s">
        <v>122</v>
      </c>
      <c r="F6" s="128">
        <f>65*12</f>
        <v>780</v>
      </c>
      <c r="G6" s="128">
        <f t="shared" si="0"/>
        <v>780</v>
      </c>
    </row>
    <row r="7" spans="2:7">
      <c r="B7" t="s">
        <v>125</v>
      </c>
      <c r="F7" s="128">
        <f>6*13</f>
        <v>78</v>
      </c>
      <c r="G7" s="128">
        <f t="shared" si="0"/>
        <v>78</v>
      </c>
    </row>
    <row r="8" spans="2:7">
      <c r="B8" t="s">
        <v>126</v>
      </c>
      <c r="F8" s="128">
        <f>11*13</f>
        <v>143</v>
      </c>
      <c r="G8" s="128">
        <f t="shared" si="0"/>
        <v>143</v>
      </c>
    </row>
    <row r="9" spans="2:7">
      <c r="B9" t="s">
        <v>127</v>
      </c>
      <c r="F9" s="128">
        <f>2*13</f>
        <v>26</v>
      </c>
      <c r="G9" s="128">
        <f t="shared" si="0"/>
        <v>26</v>
      </c>
    </row>
    <row r="10" spans="2:7">
      <c r="B10" t="s">
        <v>129</v>
      </c>
      <c r="F10" s="128">
        <f>6*13</f>
        <v>78</v>
      </c>
      <c r="G10" s="128">
        <f t="shared" si="0"/>
        <v>78</v>
      </c>
    </row>
    <row r="11" spans="2:7">
      <c r="B11" t="s">
        <v>131</v>
      </c>
      <c r="F11" s="128">
        <v>120</v>
      </c>
      <c r="G11" s="128">
        <v>120</v>
      </c>
    </row>
    <row r="12" spans="2:7">
      <c r="D12" t="s">
        <v>27</v>
      </c>
      <c r="F12" s="128">
        <f>SUM(F4:F11)</f>
        <v>2890</v>
      </c>
      <c r="G12" s="128">
        <f>SUM(G4:G11)</f>
        <v>2890</v>
      </c>
    </row>
    <row r="13" spans="2:7">
      <c r="D13" s="129" t="s">
        <v>130</v>
      </c>
      <c r="E13" s="129"/>
      <c r="F13" s="130">
        <f>+F12+G12</f>
        <v>5780</v>
      </c>
      <c r="G13" s="1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E15"/>
  <sheetViews>
    <sheetView workbookViewId="0">
      <selection activeCell="C5" sqref="C5"/>
    </sheetView>
  </sheetViews>
  <sheetFormatPr baseColWidth="10" defaultRowHeight="14.4"/>
  <cols>
    <col min="2" max="2" width="85.6640625" bestFit="1" customWidth="1"/>
    <col min="3" max="3" width="13.109375" bestFit="1" customWidth="1"/>
    <col min="4" max="4" width="13.5546875" bestFit="1" customWidth="1"/>
  </cols>
  <sheetData>
    <row r="2" spans="2:5">
      <c r="B2" s="124" t="s">
        <v>134</v>
      </c>
      <c r="C2" s="132" t="s">
        <v>123</v>
      </c>
      <c r="D2" s="132" t="s">
        <v>124</v>
      </c>
    </row>
    <row r="4" spans="2:5">
      <c r="B4" t="s">
        <v>133</v>
      </c>
      <c r="C4" s="128">
        <f>48.06*2*19</f>
        <v>1826.2800000000002</v>
      </c>
      <c r="D4" s="128">
        <f>+C4</f>
        <v>1826.2800000000002</v>
      </c>
      <c r="E4" s="137">
        <f>+C4+D4</f>
        <v>3652.5600000000004</v>
      </c>
    </row>
    <row r="5" spans="2:5">
      <c r="B5" t="s">
        <v>136</v>
      </c>
      <c r="C5" s="128">
        <f>45*2*19</f>
        <v>1710</v>
      </c>
      <c r="D5" s="128">
        <f t="shared" ref="D5:D13" si="0">+C5</f>
        <v>1710</v>
      </c>
      <c r="E5" s="137">
        <f t="shared" ref="E5:E14" si="1">+C5+D5</f>
        <v>3420</v>
      </c>
    </row>
    <row r="6" spans="2:5">
      <c r="B6" t="s">
        <v>137</v>
      </c>
      <c r="C6" s="128">
        <v>0</v>
      </c>
      <c r="D6" s="128">
        <f t="shared" si="0"/>
        <v>0</v>
      </c>
      <c r="E6" s="137">
        <f t="shared" si="1"/>
        <v>0</v>
      </c>
    </row>
    <row r="7" spans="2:5">
      <c r="B7" t="s">
        <v>138</v>
      </c>
      <c r="C7" s="128">
        <f>10*19</f>
        <v>190</v>
      </c>
      <c r="D7" s="128">
        <f t="shared" si="0"/>
        <v>190</v>
      </c>
      <c r="E7" s="137">
        <f t="shared" si="1"/>
        <v>380</v>
      </c>
    </row>
    <row r="8" spans="2:5">
      <c r="B8" t="s">
        <v>139</v>
      </c>
      <c r="C8" s="128">
        <v>0</v>
      </c>
      <c r="D8" s="128">
        <f t="shared" si="0"/>
        <v>0</v>
      </c>
      <c r="E8" s="137">
        <f t="shared" si="1"/>
        <v>0</v>
      </c>
    </row>
    <row r="9" spans="2:5">
      <c r="B9" t="s">
        <v>140</v>
      </c>
      <c r="C9" s="128">
        <f>65*19</f>
        <v>1235</v>
      </c>
      <c r="D9" s="128">
        <f t="shared" si="0"/>
        <v>1235</v>
      </c>
      <c r="E9" s="137">
        <f t="shared" si="1"/>
        <v>2470</v>
      </c>
    </row>
    <row r="10" spans="2:5">
      <c r="B10" t="s">
        <v>141</v>
      </c>
      <c r="C10" s="128">
        <f>12*5</f>
        <v>60</v>
      </c>
      <c r="D10" s="128">
        <f t="shared" si="0"/>
        <v>60</v>
      </c>
      <c r="E10" s="137">
        <f t="shared" si="1"/>
        <v>120</v>
      </c>
    </row>
    <row r="11" spans="2:5">
      <c r="B11" t="s">
        <v>142</v>
      </c>
      <c r="C11" s="128">
        <f>35*5</f>
        <v>175</v>
      </c>
      <c r="D11" s="128">
        <f t="shared" si="0"/>
        <v>175</v>
      </c>
      <c r="E11" s="137">
        <f t="shared" si="1"/>
        <v>350</v>
      </c>
    </row>
    <row r="12" spans="2:5">
      <c r="B12" t="s">
        <v>143</v>
      </c>
      <c r="C12" s="128">
        <f>45*12</f>
        <v>540</v>
      </c>
      <c r="D12" s="128">
        <f t="shared" si="0"/>
        <v>540</v>
      </c>
      <c r="E12" s="137">
        <f t="shared" si="1"/>
        <v>1080</v>
      </c>
    </row>
    <row r="13" spans="2:5">
      <c r="B13" t="s">
        <v>144</v>
      </c>
      <c r="C13" s="128">
        <f>45*19</f>
        <v>855</v>
      </c>
      <c r="D13" s="128">
        <f t="shared" si="0"/>
        <v>855</v>
      </c>
      <c r="E13" s="137">
        <f t="shared" si="1"/>
        <v>1710</v>
      </c>
    </row>
    <row r="14" spans="2:5">
      <c r="B14" s="131" t="s">
        <v>135</v>
      </c>
      <c r="C14" s="128">
        <f>SUM(C4:C13)</f>
        <v>6591.2800000000007</v>
      </c>
      <c r="D14" s="128">
        <f>SUM(D4:D13)</f>
        <v>6591.2800000000007</v>
      </c>
      <c r="E14" s="137">
        <f t="shared" si="1"/>
        <v>13182.560000000001</v>
      </c>
    </row>
    <row r="15" spans="2:5">
      <c r="B15" s="131" t="s">
        <v>18</v>
      </c>
      <c r="C15" s="128">
        <f>+C14+D14</f>
        <v>13182.560000000001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B2:D8"/>
  <sheetViews>
    <sheetView workbookViewId="0">
      <selection activeCell="G4" sqref="G4:H4"/>
    </sheetView>
  </sheetViews>
  <sheetFormatPr baseColWidth="10" defaultRowHeight="14.4"/>
  <cols>
    <col min="3" max="3" width="23.109375" customWidth="1"/>
  </cols>
  <sheetData>
    <row r="2" spans="2:4">
      <c r="B2" s="124" t="s">
        <v>145</v>
      </c>
    </row>
    <row r="4" spans="2:4">
      <c r="B4" t="s">
        <v>146</v>
      </c>
      <c r="D4">
        <f>30*15*19</f>
        <v>8550</v>
      </c>
    </row>
    <row r="5" spans="2:4">
      <c r="B5" s="149" t="s">
        <v>168</v>
      </c>
    </row>
    <row r="8" spans="2:4">
      <c r="B8" t="s">
        <v>163</v>
      </c>
      <c r="D8">
        <f>+D4*12</f>
        <v>102600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2:B10"/>
  <sheetViews>
    <sheetView workbookViewId="0">
      <selection activeCell="B4" sqref="B4"/>
    </sheetView>
  </sheetViews>
  <sheetFormatPr baseColWidth="10" defaultRowHeight="14.4"/>
  <cols>
    <col min="1" max="1" width="24" bestFit="1" customWidth="1"/>
  </cols>
  <sheetData>
    <row r="2" spans="1:2">
      <c r="A2" s="124" t="s">
        <v>25</v>
      </c>
    </row>
    <row r="4" spans="1:2">
      <c r="A4" s="127" t="s">
        <v>150</v>
      </c>
      <c r="B4" s="127">
        <f>6*1800</f>
        <v>10800</v>
      </c>
    </row>
    <row r="5" spans="1:2">
      <c r="A5" s="127" t="s">
        <v>147</v>
      </c>
      <c r="B5" s="127">
        <f>2180*3.78</f>
        <v>8240.4</v>
      </c>
    </row>
    <row r="6" spans="1:2">
      <c r="A6" s="127" t="s">
        <v>158</v>
      </c>
      <c r="B6" s="127">
        <f>170*19</f>
        <v>3230</v>
      </c>
    </row>
    <row r="7" spans="1:2">
      <c r="A7" s="127" t="s">
        <v>148</v>
      </c>
      <c r="B7" s="127">
        <v>1000</v>
      </c>
    </row>
    <row r="8" spans="1:2">
      <c r="A8" s="127" t="s">
        <v>151</v>
      </c>
      <c r="B8" s="127">
        <v>1000</v>
      </c>
    </row>
    <row r="9" spans="1:2">
      <c r="A9" s="127" t="s">
        <v>149</v>
      </c>
      <c r="B9" s="127">
        <f>1000*12</f>
        <v>12000</v>
      </c>
    </row>
    <row r="10" spans="1:2">
      <c r="A10" s="134" t="s">
        <v>18</v>
      </c>
      <c r="B10">
        <f>SUM(B4:B9)</f>
        <v>36270.400000000001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C2:J7"/>
  <sheetViews>
    <sheetView workbookViewId="0">
      <selection activeCell="J8" sqref="J8"/>
    </sheetView>
  </sheetViews>
  <sheetFormatPr baseColWidth="10" defaultRowHeight="14.4"/>
  <cols>
    <col min="9" max="9" width="12.6640625" bestFit="1" customWidth="1"/>
  </cols>
  <sheetData>
    <row r="2" spans="3:10">
      <c r="I2" s="127" t="s">
        <v>165</v>
      </c>
      <c r="J2" s="127" t="s">
        <v>164</v>
      </c>
    </row>
    <row r="3" spans="3:10" ht="15.6">
      <c r="C3" s="181" t="s">
        <v>46</v>
      </c>
      <c r="D3" s="181"/>
      <c r="E3" s="181"/>
      <c r="F3" s="181"/>
      <c r="G3" s="181"/>
      <c r="H3" s="182"/>
      <c r="I3" s="128">
        <v>8.73</v>
      </c>
      <c r="J3" s="128"/>
    </row>
    <row r="4" spans="3:10" ht="15.6">
      <c r="C4" s="181" t="s">
        <v>47</v>
      </c>
      <c r="D4" s="181"/>
      <c r="E4" s="181"/>
      <c r="F4" s="181"/>
      <c r="G4" s="181"/>
      <c r="H4" s="182"/>
      <c r="I4" s="128">
        <v>16.57</v>
      </c>
      <c r="J4" s="128"/>
    </row>
    <row r="5" spans="3:10" ht="15.6">
      <c r="C5" s="182" t="s">
        <v>166</v>
      </c>
      <c r="D5" s="183"/>
      <c r="E5" s="183"/>
      <c r="F5" s="183"/>
      <c r="G5" s="183"/>
      <c r="H5" s="183"/>
      <c r="I5" s="128">
        <v>6.15</v>
      </c>
      <c r="J5" s="128"/>
    </row>
    <row r="6" spans="3:10" ht="15.6">
      <c r="C6" s="182" t="s">
        <v>156</v>
      </c>
      <c r="D6" s="183"/>
      <c r="E6" s="183"/>
      <c r="F6" s="183"/>
      <c r="G6" s="183"/>
      <c r="H6" s="183"/>
      <c r="I6" s="128">
        <f>+J6/19/12</f>
        <v>13.305431578947369</v>
      </c>
      <c r="J6" s="128">
        <f>790.01*3.84</f>
        <v>3033.6383999999998</v>
      </c>
    </row>
    <row r="7" spans="3:10" ht="15.6">
      <c r="C7" s="181" t="s">
        <v>49</v>
      </c>
      <c r="D7" s="181"/>
      <c r="E7" s="181"/>
      <c r="F7" s="181"/>
      <c r="G7" s="181"/>
      <c r="H7" s="182"/>
      <c r="I7" s="128">
        <f>+J7/19/12</f>
        <v>16.392757894736842</v>
      </c>
      <c r="J7" s="128">
        <f>973.32*3.84</f>
        <v>3737.5488</v>
      </c>
    </row>
  </sheetData>
  <mergeCells count="5">
    <mergeCell ref="C3:H3"/>
    <mergeCell ref="C4:H4"/>
    <mergeCell ref="C5:H5"/>
    <mergeCell ref="C6:H6"/>
    <mergeCell ref="C7:H7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3CA2C-A251-446A-9921-28472E2FD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bf002415-66b4-49b9-a1c9-362206eb161a"/>
    <ds:schemaRef ds:uri="http://purl.org/dc/terms/"/>
    <ds:schemaRef ds:uri="http://purl.org/dc/dcmitype/"/>
    <ds:schemaRef ds:uri="267c4d04-9e80-4fa2-a816-72c2f787efb4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</vt:i4>
      </vt:variant>
    </vt:vector>
  </HeadingPairs>
  <TitlesOfParts>
    <vt:vector size="18" baseType="lpstr">
      <vt:lpstr>CONSOLIDADO</vt:lpstr>
      <vt:lpstr>DETALLADO</vt:lpstr>
      <vt:lpstr>SUPERVISOR</vt:lpstr>
      <vt:lpstr>AGENTE CONDUCTOR</vt:lpstr>
      <vt:lpstr>AGENTE CON ARMA</vt:lpstr>
      <vt:lpstr>AGENTE SIN ARMA</vt:lpstr>
      <vt:lpstr>MATERIALES </vt:lpstr>
      <vt:lpstr>EQUIPOS INFORMATICOS</vt:lpstr>
      <vt:lpstr>CAMIONETA</vt:lpstr>
      <vt:lpstr>EPPS </vt:lpstr>
      <vt:lpstr>UNIFORMES</vt:lpstr>
      <vt:lpstr>ALIMENTACION</vt:lpstr>
      <vt:lpstr>GASTOS GENERALES</vt:lpstr>
      <vt:lpstr>POLIZAS</vt:lpstr>
      <vt:lpstr>CONSOLIDADO!Área_de_impresión</vt:lpstr>
      <vt:lpstr>DETALLADO!Área_de_impresión</vt:lpstr>
      <vt:lpstr>CONSOLIDADO!Print_Area</vt:lpstr>
      <vt:lpstr>DETALLADO!Print_Area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cp:lastPrinted>2024-07-30T20:41:02Z</cp:lastPrinted>
  <dcterms:created xsi:type="dcterms:W3CDTF">2015-03-19T22:07:36Z</dcterms:created>
  <dcterms:modified xsi:type="dcterms:W3CDTF">2024-07-30T20:44:31Z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