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cordero\Desktop\OHLA\"/>
    </mc:Choice>
  </mc:AlternateContent>
  <xr:revisionPtr revIDLastSave="0" documentId="8_{F8E0569B-BEF8-4C1D-BDB1-835FA23D2E4C}" xr6:coauthVersionLast="47" xr6:coauthVersionMax="47" xr10:uidLastSave="{00000000-0000-0000-0000-000000000000}"/>
  <bookViews>
    <workbookView xWindow="-120" yWindow="-120" windowWidth="29040" windowHeight="15840" xr2:uid="{4491F9F7-4A23-4DC5-856C-F6F2411BDA0F}"/>
  </bookViews>
  <sheets>
    <sheet name="PPT -General" sheetId="1" r:id="rId1"/>
    <sheet name="PBVRP-Cañete" sheetId="2" r:id="rId2"/>
    <sheet name="PBVRP-Huaura" sheetId="6" r:id="rId3"/>
    <sheet name="Planilla-Cañete" sheetId="4" r:id="rId4"/>
    <sheet name="Planilla-Huaura" sheetId="5" r:id="rId5"/>
  </sheets>
  <definedNames>
    <definedName name="_xlnm.Print_Area" localSheetId="1">'PBVRP-Cañete'!$A$1:$W$61</definedName>
    <definedName name="_xlnm.Print_Area" localSheetId="3">'Planilla-Cañete'!$B$1:$F$16</definedName>
    <definedName name="_xlnm.Print_Area" localSheetId="4">'Planilla-Huaura'!$B$1:$F$18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6" l="1"/>
  <c r="G33" i="2"/>
  <c r="F32" i="2"/>
  <c r="G31" i="2" s="1"/>
  <c r="H117" i="1"/>
  <c r="F29" i="6"/>
  <c r="G28" i="6" s="1"/>
  <c r="F27" i="6"/>
  <c r="G26" i="6" s="1"/>
  <c r="F25" i="6"/>
  <c r="G24" i="6" s="1"/>
  <c r="F23" i="6"/>
  <c r="G22" i="6" s="1"/>
  <c r="I93" i="1"/>
  <c r="J71" i="1"/>
  <c r="J72" i="1"/>
  <c r="I47" i="1"/>
  <c r="I52" i="1"/>
  <c r="I50" i="1"/>
  <c r="G31" i="6"/>
  <c r="G19" i="6"/>
  <c r="G17" i="6"/>
  <c r="G15" i="6"/>
  <c r="G13" i="6"/>
  <c r="G11" i="6"/>
  <c r="G9" i="6"/>
  <c r="G7" i="6"/>
  <c r="G5" i="6"/>
  <c r="F25" i="2"/>
  <c r="G24" i="2" s="1"/>
  <c r="F29" i="2"/>
  <c r="F23" i="2"/>
  <c r="G22" i="2" s="1"/>
  <c r="F14" i="2"/>
  <c r="G13" i="2" s="1"/>
  <c r="G4" i="2" s="1"/>
  <c r="G26" i="2"/>
  <c r="G28" i="2"/>
  <c r="G19" i="2"/>
  <c r="G17" i="2"/>
  <c r="G15" i="2"/>
  <c r="G11" i="2"/>
  <c r="G9" i="2"/>
  <c r="G7" i="2"/>
  <c r="G5" i="2"/>
  <c r="F18" i="2"/>
  <c r="F16" i="2"/>
  <c r="F12" i="2"/>
  <c r="F10" i="2"/>
  <c r="J100" i="1"/>
  <c r="G30" i="2" l="1"/>
  <c r="F32" i="6"/>
  <c r="G30" i="6" s="1"/>
  <c r="G21" i="6"/>
  <c r="G4" i="6"/>
  <c r="G21" i="2"/>
  <c r="E9" i="5" l="1"/>
  <c r="E10" i="5"/>
  <c r="E11" i="5"/>
  <c r="E12" i="5"/>
  <c r="E13" i="5"/>
  <c r="E14" i="5"/>
  <c r="E15" i="5"/>
  <c r="E16" i="5"/>
  <c r="E8" i="5"/>
  <c r="J80" i="1" l="1"/>
  <c r="J35" i="1"/>
  <c r="J84" i="1"/>
  <c r="J51" i="1"/>
  <c r="I51" i="1" s="1"/>
  <c r="J92" i="1"/>
  <c r="J59" i="1"/>
  <c r="J46" i="1"/>
  <c r="J45" i="1"/>
  <c r="J66" i="1"/>
  <c r="J65" i="1"/>
  <c r="J63" i="1"/>
  <c r="J49" i="1"/>
  <c r="J48" i="1"/>
  <c r="J41" i="1"/>
  <c r="J40" i="1"/>
  <c r="G39" i="1"/>
  <c r="J39" i="1" s="1"/>
  <c r="G38" i="1"/>
  <c r="J38" i="1" s="1"/>
  <c r="J37" i="1" s="1"/>
  <c r="J44" i="1" l="1"/>
  <c r="J60" i="1" l="1"/>
  <c r="J64" i="1"/>
  <c r="J62" i="1"/>
  <c r="J61" i="1"/>
  <c r="J58" i="1"/>
  <c r="J74" i="1"/>
  <c r="J70" i="1"/>
  <c r="J69" i="1"/>
  <c r="J68" i="1"/>
  <c r="J67" i="1" s="1"/>
  <c r="J79" i="1"/>
  <c r="J78" i="1"/>
  <c r="J31" i="1"/>
  <c r="J29" i="1"/>
  <c r="F24" i="1"/>
  <c r="J24" i="1" s="1"/>
  <c r="J77" i="1" l="1"/>
  <c r="J57" i="1"/>
  <c r="E9" i="4"/>
  <c r="H21" i="1"/>
  <c r="I21" i="1" s="1"/>
  <c r="J21" i="1" s="1"/>
  <c r="H20" i="1"/>
  <c r="I20" i="1" s="1"/>
  <c r="J20" i="1" s="1"/>
  <c r="H19" i="1"/>
  <c r="I19" i="1" s="1"/>
  <c r="J19" i="1" s="1"/>
  <c r="H18" i="1"/>
  <c r="I18" i="1" s="1"/>
  <c r="J18" i="1" s="1"/>
  <c r="H17" i="1"/>
  <c r="I17" i="1" s="1"/>
  <c r="J17" i="1" s="1"/>
  <c r="H16" i="1"/>
  <c r="I16" i="1" s="1"/>
  <c r="J16" i="1" s="1"/>
  <c r="H13" i="1"/>
  <c r="I13" i="1" s="1"/>
  <c r="J13" i="1" s="1"/>
  <c r="H12" i="1"/>
  <c r="I12" i="1" s="1"/>
  <c r="J12" i="1" s="1"/>
  <c r="H11" i="1"/>
  <c r="I11" i="1" s="1"/>
  <c r="J11" i="1" s="1"/>
  <c r="H10" i="1"/>
  <c r="I10" i="1" s="1"/>
  <c r="J10" i="1" s="1"/>
  <c r="H9" i="1"/>
  <c r="I9" i="1" s="1"/>
  <c r="J9" i="1" s="1"/>
  <c r="H8" i="1"/>
  <c r="I8" i="1" s="1"/>
  <c r="J8" i="1" s="1"/>
  <c r="E16" i="4" l="1"/>
  <c r="E15" i="4"/>
  <c r="E14" i="4"/>
  <c r="E13" i="4"/>
  <c r="E12" i="4"/>
  <c r="E11" i="4"/>
  <c r="E10" i="4"/>
  <c r="E8" i="4"/>
  <c r="A114" i="1"/>
  <c r="A113" i="1"/>
  <c r="A112" i="1"/>
  <c r="A110" i="1"/>
  <c r="A109" i="1"/>
  <c r="A108" i="1"/>
  <c r="A107" i="1"/>
  <c r="J98" i="1"/>
  <c r="J97" i="1" s="1"/>
  <c r="H115" i="1" s="1"/>
  <c r="J76" i="1"/>
  <c r="J73" i="1"/>
  <c r="J32" i="1"/>
  <c r="J26" i="1"/>
  <c r="J23" i="1"/>
  <c r="F7" i="1"/>
  <c r="F6" i="1"/>
  <c r="H108" i="1" l="1"/>
  <c r="H113" i="1"/>
  <c r="J43" i="1"/>
  <c r="H110" i="1" s="1"/>
  <c r="J83" i="1"/>
  <c r="H114" i="1" s="1"/>
  <c r="J7" i="1"/>
  <c r="J6" i="1" s="1"/>
  <c r="J28" i="1"/>
  <c r="H111" i="1" l="1"/>
  <c r="J56" i="1"/>
  <c r="J25" i="1"/>
  <c r="J102" i="1" s="1"/>
  <c r="H107" i="1"/>
  <c r="H112" i="1" l="1"/>
  <c r="H109" i="1"/>
  <c r="J5" i="1"/>
  <c r="H116" i="1" l="1"/>
  <c r="F117" i="1" l="1"/>
  <c r="H118" i="1"/>
  <c r="H119" i="1" s="1"/>
  <c r="H120" i="1" l="1"/>
  <c r="H121" i="1" s="1"/>
</calcChain>
</file>

<file path=xl/sharedStrings.xml><?xml version="1.0" encoding="utf-8"?>
<sst xmlns="http://schemas.openxmlformats.org/spreadsheetml/2006/main" count="194" uniqueCount="131">
  <si>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</si>
  <si>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</si>
  <si>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</si>
  <si>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</si>
  <si>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</si>
  <si>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</si>
  <si>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</si>
  <si>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</si>
  <si>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</si>
  <si>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</si>
  <si>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</si>
  <si>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</si>
  <si>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</si>
  <si>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Relacionista Comunitario 1</t>
  </si>
  <si>
    <t>02 TRASLADO DE PERSONAL</t>
  </si>
  <si>
    <t>Pasajes terrestres (personal indirecto)</t>
  </si>
  <si>
    <t>03 IMPLEMENTOS DE SEGURIDAD y SALUD OCUPACIONAL (INCL. GASTOS COVID)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</si>
  <si>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</si>
  <si>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</si>
  <si>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</si>
  <si>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</si>
  <si>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</si>
  <si>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</si>
  <si>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</si>
  <si>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</si>
  <si>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</si>
  <si>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</si>
  <si>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</si>
  <si>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</si>
  <si>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</si>
  <si>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</si>
  <si>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</si>
  <si>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</si>
  <si>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</si>
  <si>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</si>
  <si>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</si>
  <si>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</si>
  <si>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</si>
  <si>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</si>
  <si>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TOTAL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</si>
  <si>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</si>
  <si>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</si>
  <si>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</si>
  <si>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</si>
  <si>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</si>
  <si>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</si>
  <si>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</si>
  <si>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</si>
  <si>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</si>
  <si>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Programa de comunicación y consulta</t>
  </si>
  <si>
    <t>Programa de Acompañamiento de Liberación de Predios</t>
  </si>
  <si>
    <t xml:space="preserve">Programa de Atención a Quejas y Reclamos </t>
  </si>
  <si>
    <t xml:space="preserve">RÍOS Cañete </t>
  </si>
  <si>
    <t>RÍOS Huaura</t>
  </si>
  <si>
    <t>DESCRIPCIÓN RECURSO</t>
  </si>
  <si>
    <t>SUELDO BRUTO 
(PEN)</t>
  </si>
  <si>
    <t>SUELDO BRUTO + BENEFICIOS ( MES)
(PEN)</t>
  </si>
  <si>
    <t>Relacionista Comunitario 2</t>
  </si>
  <si>
    <t>Coordinador</t>
  </si>
  <si>
    <t>Relacionista Comunitario 3</t>
  </si>
  <si>
    <t>Relacionista Comunitario 4</t>
  </si>
  <si>
    <t>Asistente de Relaciones Comunitarias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</si>
  <si>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</si>
  <si>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</si>
  <si>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</si>
  <si>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</si>
  <si>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</si>
  <si>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CAÑETE</t>
  </si>
  <si>
    <t>01 PROFESIONALES Y MANO DE OBRA INDIRECTA HUAURA</t>
  </si>
  <si>
    <t>Conductor 3</t>
  </si>
  <si>
    <t>Cañete</t>
  </si>
  <si>
    <t>Huaura</t>
  </si>
  <si>
    <t>PU</t>
  </si>
  <si>
    <t>Mascarillas KN95 (caja x 20 unidades)</t>
  </si>
  <si>
    <t>Mascarillas quirurgicas (caja por 50 unidades)</t>
  </si>
  <si>
    <t>Alcohol en gel (2 litros)</t>
  </si>
  <si>
    <t>Dispensadores personales para alcohol en gel</t>
  </si>
  <si>
    <t>Alquiler de vivienda cañete</t>
  </si>
  <si>
    <t>Alquiler de vivienda Huarua</t>
  </si>
  <si>
    <t>Alimentación Huaura</t>
  </si>
  <si>
    <t>Camioneta 4x4 Cabina doble; incluye chofer, combustible -2 Vehiculos Huaura</t>
  </si>
  <si>
    <t>Camioneta 4x4 Cabina doble; incluye chofer, combustible -2 Vehículos Cañete</t>
  </si>
  <si>
    <t xml:space="preserve">Conductores   (06) </t>
  </si>
  <si>
    <t>Impresoras</t>
  </si>
  <si>
    <t>Tintas para impresoras</t>
  </si>
  <si>
    <t>Proyector</t>
  </si>
  <si>
    <t>PCs</t>
  </si>
  <si>
    <t>Celular para Relacionistas</t>
  </si>
  <si>
    <t>Celular para conductores</t>
  </si>
  <si>
    <t>Licencia programa, diseño y edición de videos</t>
  </si>
  <si>
    <t>Chips</t>
  </si>
  <si>
    <t>Ecran</t>
  </si>
  <si>
    <t>Laptop Cañete</t>
  </si>
  <si>
    <t>Mantenimiento local cañete</t>
  </si>
  <si>
    <t>Mantenimiento local Huarua</t>
  </si>
  <si>
    <t>Laptop Huarua</t>
  </si>
  <si>
    <t>Parlantes</t>
  </si>
  <si>
    <t>Microfonos</t>
  </si>
  <si>
    <t xml:space="preserve">Utiles de limpieza </t>
  </si>
  <si>
    <t xml:space="preserve">Alquiler de oficina  San Viciente de Cañete </t>
  </si>
  <si>
    <t>Utiles de Oficina</t>
  </si>
  <si>
    <t>Materiales de comunicación</t>
  </si>
  <si>
    <t>Curso de manejo defensivo  + curso de 4x4</t>
  </si>
  <si>
    <t>Equipo fotográfico</t>
  </si>
  <si>
    <t>Implementación Oficina/Internet</t>
  </si>
  <si>
    <t>Teléfono de atención permanente</t>
  </si>
  <si>
    <t>Pago linea de atención</t>
  </si>
  <si>
    <t>Alimentación Cañete</t>
  </si>
  <si>
    <t xml:space="preserve"> Implementación vivienda Cañete/Huarua (Equipamiento)</t>
  </si>
  <si>
    <t>Servicios Oficina</t>
  </si>
  <si>
    <t>Alquiler de oficina Huaura</t>
  </si>
  <si>
    <t>RESUMEN COSTOS DIRECTOS</t>
  </si>
  <si>
    <t>GASTOS GENERALES SUBCONTRATISTA</t>
  </si>
  <si>
    <t xml:space="preserve">UTLIDAD SUBCONTRATISTA </t>
  </si>
  <si>
    <t xml:space="preserve">SUBTOTAL COSTOS </t>
  </si>
  <si>
    <t>IGV</t>
  </si>
  <si>
    <t>TOTAL COSTO DIRECTO</t>
  </si>
  <si>
    <t>TOTAL S/.</t>
  </si>
  <si>
    <t>Botiquín vehículos</t>
  </si>
  <si>
    <t>PPC</t>
  </si>
  <si>
    <t>ACUMULADO MENSUAL COSTOS DIRECTOS</t>
  </si>
  <si>
    <t>08 PROGRAMAS DE PLAN DE BUENA VECINDAD Y RELACIONES PUBLICAS *</t>
  </si>
  <si>
    <t>Hay una duplicidad, estos conceptos ya están presupuestados dentro de los costos indirectos y gastos en general en otras partidas del presupuesto</t>
  </si>
  <si>
    <t>Otros</t>
  </si>
  <si>
    <t>SUBTOTAL S/.</t>
  </si>
  <si>
    <t xml:space="preserve">PBVRP </t>
  </si>
  <si>
    <t>Lineamiento 1 : Alineamiento Interno</t>
  </si>
  <si>
    <t>Lineamiento 2: Prevención y manejo de impactos sociales</t>
  </si>
  <si>
    <t>Plan de Relaciones Comunitarias (PRC)</t>
  </si>
  <si>
    <t>Plan de Participación Ciudadana (PPC) -  Instrumento de Gestión Ambiental</t>
  </si>
  <si>
    <t>Incorporado en los costos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</si>
</sst>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1" formatCode="_(* #,##0_);_(* \(#,##0\);_(* &quot;-&quot;??_);_(@_)"/>
    <numFmt numFmtId="172" formatCode="_-* #,##0_-;\-* #,##0_-;_-* &quot;-&quot;??_-;_-@_-"/>
    <numFmt numFmtId="175" formatCode="_-* #,##0.000_-;\-* #,##0.00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sz val="8"/>
      <color rgb="FF000000"/>
      <name val="Calibri"/>
      <family val="2"/>
    </font>
    <font>
      <sz val="10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theme="0" tint="-0.34998626667073579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13" fillId="0" borderId="18" xfId="2" applyFont="1" applyBorder="1" applyAlignment="1">
      <alignment horizontal="left" vertical="center" indent="1"/>
    </xf>
    <xf numFmtId="166" fontId="13" fillId="0" borderId="19" xfId="2" applyNumberFormat="1" applyFont="1" applyBorder="1" applyAlignment="1">
      <alignment horizontal="center" vertical="center"/>
    </xf>
    <xf numFmtId="3" fontId="13" fillId="0" borderId="19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right" vertical="center"/>
    </xf>
    <xf numFmtId="43" fontId="13" fillId="0" borderId="21" xfId="2" applyNumberFormat="1" applyFont="1" applyBorder="1" applyAlignment="1">
      <alignment horizontal="right" vertical="center"/>
    </xf>
    <xf numFmtId="0" fontId="13" fillId="0" borderId="22" xfId="2" applyFont="1" applyBorder="1" applyAlignment="1">
      <alignment horizontal="left" vertical="center" indent="1"/>
    </xf>
    <xf numFmtId="3" fontId="13" fillId="0" borderId="23" xfId="2" applyNumberFormat="1" applyFont="1" applyBorder="1" applyAlignment="1">
      <alignment horizontal="center" vertical="center"/>
    </xf>
    <xf numFmtId="43" fontId="13" fillId="0" borderId="23" xfId="2" applyNumberFormat="1" applyFont="1" applyBorder="1" applyAlignment="1">
      <alignment horizontal="right" vertical="center"/>
    </xf>
    <xf numFmtId="43" fontId="13" fillId="0" borderId="24" xfId="2" applyNumberFormat="1" applyFont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0" fontId="13" fillId="0" borderId="25" xfId="2" applyFont="1" applyBorder="1" applyAlignment="1">
      <alignment horizontal="left" vertical="center" indent="1"/>
    </xf>
    <xf numFmtId="0" fontId="13" fillId="0" borderId="26" xfId="2" applyFont="1" applyBorder="1" applyAlignment="1">
      <alignment horizontal="left" vertical="center" indent="1"/>
    </xf>
    <xf numFmtId="0" fontId="13" fillId="0" borderId="27" xfId="2" applyFont="1" applyBorder="1" applyAlignment="1">
      <alignment horizontal="left" vertical="center" indent="1"/>
    </xf>
    <xf numFmtId="0" fontId="13" fillId="0" borderId="0" xfId="2" applyFont="1" applyAlignment="1">
      <alignment horizontal="left" vertical="center" indent="1"/>
    </xf>
    <xf numFmtId="168" fontId="13" fillId="0" borderId="19" xfId="2" applyNumberFormat="1" applyFont="1" applyBorder="1" applyAlignment="1">
      <alignment horizontal="center" vertical="center"/>
    </xf>
    <xf numFmtId="43" fontId="13" fillId="0" borderId="0" xfId="1" applyFont="1" applyFill="1" applyAlignment="1">
      <alignment vertical="center"/>
    </xf>
    <xf numFmtId="43" fontId="13" fillId="0" borderId="23" xfId="2" applyNumberFormat="1" applyFont="1" applyBorder="1" applyAlignment="1">
      <alignment horizontal="center" vertical="center"/>
    </xf>
    <xf numFmtId="0" fontId="13" fillId="0" borderId="28" xfId="2" applyFont="1" applyBorder="1" applyAlignment="1">
      <alignment horizontal="left" vertical="center" indent="1"/>
    </xf>
    <xf numFmtId="0" fontId="13" fillId="0" borderId="29" xfId="2" applyFont="1" applyBorder="1" applyAlignment="1">
      <alignment horizontal="left" vertical="center" indent="1"/>
    </xf>
    <xf numFmtId="0" fontId="13" fillId="0" borderId="30" xfId="2" applyFont="1" applyBorder="1" applyAlignment="1">
      <alignment horizontal="left" vertical="center" indent="1"/>
    </xf>
    <xf numFmtId="0" fontId="13" fillId="0" borderId="31" xfId="2" applyFont="1" applyBorder="1" applyAlignment="1">
      <alignment horizontal="left" vertical="center" indent="1"/>
    </xf>
    <xf numFmtId="0" fontId="13" fillId="0" borderId="32" xfId="2" applyFont="1" applyBorder="1" applyAlignment="1">
      <alignment horizontal="left" vertical="center" indent="1"/>
    </xf>
    <xf numFmtId="3" fontId="13" fillId="0" borderId="20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right" vertical="center"/>
    </xf>
    <xf numFmtId="43" fontId="13" fillId="0" borderId="33" xfId="2" applyNumberFormat="1" applyFont="1" applyBorder="1" applyAlignment="1">
      <alignment horizontal="right"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166" fontId="13" fillId="0" borderId="23" xfId="2" applyNumberFormat="1" applyFont="1" applyBorder="1" applyAlignment="1">
      <alignment horizontal="center" vertical="center"/>
    </xf>
    <xf numFmtId="166" fontId="13" fillId="0" borderId="20" xfId="2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46" xfId="2" applyFont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4" fontId="2" fillId="0" borderId="0" xfId="4" applyNumberFormat="1"/>
    <xf numFmtId="0" fontId="18" fillId="0" borderId="50" xfId="2" applyFont="1" applyBorder="1" applyAlignment="1">
      <alignment vertical="center"/>
    </xf>
    <xf numFmtId="0" fontId="18" fillId="0" borderId="51" xfId="2" applyFont="1" applyBorder="1" applyAlignment="1">
      <alignment vertical="center"/>
    </xf>
    <xf numFmtId="0" fontId="18" fillId="0" borderId="51" xfId="2" applyFont="1" applyBorder="1" applyAlignment="1">
      <alignment horizontal="center" vertical="center"/>
    </xf>
    <xf numFmtId="10" fontId="20" fillId="0" borderId="52" xfId="5" applyNumberFormat="1" applyFont="1" applyFill="1" applyBorder="1" applyAlignment="1">
      <alignment horizontal="right" vertical="center"/>
    </xf>
    <xf numFmtId="169" fontId="20" fillId="0" borderId="53" xfId="5" applyNumberFormat="1" applyFont="1" applyFill="1" applyBorder="1" applyAlignment="1">
      <alignment horizontal="righ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center" vertical="center"/>
    </xf>
    <xf numFmtId="10" fontId="5" fillId="3" borderId="57" xfId="5" applyNumberFormat="1" applyFont="1" applyFill="1" applyBorder="1" applyAlignment="1">
      <alignment horizontal="right" vertical="center"/>
    </xf>
    <xf numFmtId="169" fontId="5" fillId="3" borderId="58" xfId="5" applyNumberFormat="1" applyFont="1" applyFill="1" applyBorder="1" applyAlignment="1">
      <alignment horizontal="right" vertical="center"/>
    </xf>
    <xf numFmtId="0" fontId="13" fillId="0" borderId="60" xfId="2" applyFont="1" applyBorder="1" applyAlignment="1">
      <alignment horizontal="left" vertical="center" indent="1"/>
    </xf>
    <xf numFmtId="166" fontId="13" fillId="0" borderId="60" xfId="2" applyNumberFormat="1" applyFont="1" applyBorder="1" applyAlignment="1">
      <alignment horizontal="center" vertical="center"/>
    </xf>
    <xf numFmtId="3" fontId="13" fillId="0" borderId="60" xfId="2" applyNumberFormat="1" applyFont="1" applyBorder="1" applyAlignment="1">
      <alignment horizontal="center" vertical="center"/>
    </xf>
    <xf numFmtId="43" fontId="13" fillId="0" borderId="60" xfId="2" applyNumberFormat="1" applyFont="1" applyBorder="1" applyAlignment="1">
      <alignment horizontal="center" vertical="center"/>
    </xf>
    <xf numFmtId="43" fontId="13" fillId="0" borderId="60" xfId="2" applyNumberFormat="1" applyFont="1" applyBorder="1" applyAlignment="1">
      <alignment horizontal="right" vertical="center"/>
    </xf>
    <xf numFmtId="167" fontId="13" fillId="0" borderId="60" xfId="2" applyNumberFormat="1" applyFont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left" vertical="center" wrapText="1"/>
    </xf>
    <xf numFmtId="0" fontId="22" fillId="9" borderId="60" xfId="0" applyFont="1" applyFill="1" applyBorder="1" applyAlignment="1">
      <alignment horizontal="center" vertical="center"/>
    </xf>
    <xf numFmtId="0" fontId="23" fillId="0" borderId="60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center" vertical="center"/>
    </xf>
    <xf numFmtId="43" fontId="22" fillId="0" borderId="60" xfId="0" applyNumberFormat="1" applyFont="1" applyBorder="1" applyAlignment="1">
      <alignment horizontal="center" vertical="center"/>
    </xf>
    <xf numFmtId="0" fontId="0" fillId="0" borderId="60" xfId="0" applyBorder="1"/>
    <xf numFmtId="0" fontId="21" fillId="2" borderId="60" xfId="0" applyFont="1" applyFill="1" applyBorder="1" applyAlignment="1">
      <alignment horizontal="center" vertical="center"/>
    </xf>
    <xf numFmtId="0" fontId="24" fillId="0" borderId="60" xfId="0" applyFont="1" applyBorder="1" applyAlignment="1">
      <alignment horizontal="justify" vertical="center"/>
    </xf>
    <xf numFmtId="0" fontId="21" fillId="0" borderId="60" xfId="0" applyFont="1" applyBorder="1" applyAlignment="1">
      <alignment horizontal="center" vertical="center"/>
    </xf>
    <xf numFmtId="0" fontId="27" fillId="0" borderId="60" xfId="0" applyFont="1" applyBorder="1" applyAlignment="1">
      <alignment horizontal="left" vertical="center" indent="2"/>
    </xf>
    <xf numFmtId="43" fontId="28" fillId="0" borderId="60" xfId="1" applyFont="1" applyBorder="1" applyAlignment="1">
      <alignment horizontal="center" vertical="center"/>
    </xf>
    <xf numFmtId="171" fontId="28" fillId="0" borderId="60" xfId="1" applyNumberFormat="1" applyFont="1" applyBorder="1" applyAlignment="1">
      <alignment horizontal="center" vertical="center"/>
    </xf>
    <xf numFmtId="0" fontId="30" fillId="0" borderId="60" xfId="0" applyFont="1" applyBorder="1" applyAlignment="1">
      <alignment horizontal="left" vertical="center" indent="2"/>
    </xf>
    <xf numFmtId="0" fontId="11" fillId="0" borderId="60" xfId="2" applyFont="1" applyBorder="1" applyAlignment="1">
      <alignment horizontal="left" vertical="center" indent="1"/>
    </xf>
    <xf numFmtId="9" fontId="7" fillId="3" borderId="10" xfId="6" applyFont="1" applyFill="1" applyBorder="1" applyAlignment="1">
      <alignment horizontal="right" vertical="center"/>
    </xf>
    <xf numFmtId="0" fontId="30" fillId="7" borderId="60" xfId="0" applyFont="1" applyFill="1" applyBorder="1" applyAlignment="1">
      <alignment horizontal="left" vertical="center" indent="2"/>
    </xf>
    <xf numFmtId="9" fontId="28" fillId="0" borderId="60" xfId="1" applyNumberFormat="1" applyFont="1" applyBorder="1" applyAlignment="1">
      <alignment horizontal="center" vertical="center"/>
    </xf>
    <xf numFmtId="43" fontId="13" fillId="0" borderId="21" xfId="1" applyFont="1" applyBorder="1" applyAlignment="1">
      <alignment horizontal="right" vertical="center"/>
    </xf>
    <xf numFmtId="166" fontId="13" fillId="0" borderId="0" xfId="2" applyNumberFormat="1" applyFont="1" applyAlignment="1">
      <alignment horizontal="center" vertical="center"/>
    </xf>
    <xf numFmtId="3" fontId="13" fillId="0" borderId="0" xfId="2" applyNumberFormat="1" applyFont="1" applyAlignment="1">
      <alignment horizontal="center" vertical="center"/>
    </xf>
    <xf numFmtId="43" fontId="13" fillId="0" borderId="0" xfId="2" applyNumberFormat="1" applyFont="1" applyAlignment="1">
      <alignment horizontal="center" vertical="center"/>
    </xf>
    <xf numFmtId="43" fontId="13" fillId="0" borderId="0" xfId="2" applyNumberFormat="1" applyFont="1" applyAlignment="1">
      <alignment horizontal="right" vertical="center"/>
    </xf>
    <xf numFmtId="43" fontId="13" fillId="0" borderId="14" xfId="2" applyNumberFormat="1" applyFont="1" applyBorder="1" applyAlignment="1">
      <alignment horizontal="right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5" fillId="10" borderId="15" xfId="4" applyFont="1" applyFill="1" applyBorder="1" applyAlignment="1">
      <alignment horizontal="center" vertical="center" wrapText="1"/>
    </xf>
    <xf numFmtId="0" fontId="25" fillId="10" borderId="16" xfId="4" applyFont="1" applyFill="1" applyBorder="1" applyAlignment="1">
      <alignment horizontal="center" vertical="center" wrapText="1"/>
    </xf>
    <xf numFmtId="0" fontId="25" fillId="10" borderId="17" xfId="4" applyFont="1" applyFill="1" applyBorder="1" applyAlignment="1">
      <alignment horizontal="center" vertical="center" wrapText="1"/>
    </xf>
    <xf numFmtId="0" fontId="26" fillId="11" borderId="63" xfId="0" applyFont="1" applyFill="1" applyBorder="1" applyAlignment="1">
      <alignment horizontal="center" vertical="center" wrapText="1"/>
    </xf>
    <xf numFmtId="0" fontId="26" fillId="11" borderId="64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left" vertical="center"/>
    </xf>
    <xf numFmtId="0" fontId="13" fillId="0" borderId="0" xfId="2" applyFont="1" applyBorder="1" applyAlignment="1">
      <alignment horizontal="left" vertical="center" indent="1"/>
    </xf>
    <xf numFmtId="166" fontId="13" fillId="0" borderId="0" xfId="2" applyNumberFormat="1" applyFont="1" applyBorder="1" applyAlignment="1">
      <alignment horizontal="center" vertical="center"/>
    </xf>
    <xf numFmtId="3" fontId="13" fillId="0" borderId="0" xfId="2" applyNumberFormat="1" applyFont="1" applyBorder="1" applyAlignment="1">
      <alignment horizontal="center" vertical="center"/>
    </xf>
    <xf numFmtId="43" fontId="13" fillId="0" borderId="0" xfId="2" applyNumberFormat="1" applyFont="1" applyBorder="1" applyAlignment="1">
      <alignment horizontal="center" vertical="center"/>
    </xf>
    <xf numFmtId="43" fontId="13" fillId="0" borderId="0" xfId="2" applyNumberFormat="1" applyFont="1" applyBorder="1" applyAlignment="1">
      <alignment horizontal="right" vertical="center"/>
    </xf>
    <xf numFmtId="165" fontId="0" fillId="0" borderId="0" xfId="0" applyNumberFormat="1"/>
    <xf numFmtId="43" fontId="0" fillId="0" borderId="0" xfId="0" applyNumberFormat="1"/>
    <xf numFmtId="166" fontId="13" fillId="0" borderId="7" xfId="2" applyNumberFormat="1" applyFont="1" applyBorder="1" applyAlignment="1">
      <alignment horizontal="center" vertical="center"/>
    </xf>
    <xf numFmtId="10" fontId="0" fillId="0" borderId="0" xfId="0" applyNumberFormat="1"/>
    <xf numFmtId="172" fontId="28" fillId="0" borderId="60" xfId="1" applyNumberFormat="1" applyFont="1" applyBorder="1" applyAlignment="1">
      <alignment horizontal="center" vertical="center"/>
    </xf>
    <xf numFmtId="9" fontId="0" fillId="0" borderId="0" xfId="0" applyNumberFormat="1"/>
    <xf numFmtId="172" fontId="14" fillId="2" borderId="0" xfId="1" applyNumberFormat="1" applyFont="1" applyFill="1" applyAlignment="1">
      <alignment vertical="center"/>
    </xf>
    <xf numFmtId="172" fontId="0" fillId="0" borderId="0" xfId="1" applyNumberFormat="1" applyFont="1"/>
    <xf numFmtId="169" fontId="5" fillId="3" borderId="65" xfId="5" applyNumberFormat="1" applyFont="1" applyFill="1" applyBorder="1" applyAlignment="1">
      <alignment horizontal="right" vertical="center"/>
    </xf>
    <xf numFmtId="169" fontId="0" fillId="0" borderId="0" xfId="6" applyNumberFormat="1" applyFont="1"/>
    <xf numFmtId="43" fontId="13" fillId="0" borderId="20" xfId="2" applyNumberFormat="1" applyFont="1" applyFill="1" applyBorder="1" applyAlignment="1">
      <alignment horizontal="right" vertical="center"/>
    </xf>
    <xf numFmtId="9" fontId="21" fillId="9" borderId="60" xfId="0" applyNumberFormat="1" applyFont="1" applyFill="1" applyBorder="1" applyAlignment="1">
      <alignment horizontal="center" vertical="center"/>
    </xf>
    <xf numFmtId="9" fontId="21" fillId="0" borderId="60" xfId="0" applyNumberFormat="1" applyFont="1" applyBorder="1" applyAlignment="1">
      <alignment horizontal="center" vertical="center"/>
    </xf>
    <xf numFmtId="43" fontId="13" fillId="0" borderId="24" xfId="2" applyNumberFormat="1" applyFont="1" applyFill="1" applyBorder="1" applyAlignment="1">
      <alignment horizontal="right" vertical="center"/>
    </xf>
    <xf numFmtId="0" fontId="0" fillId="0" borderId="68" xfId="0" applyBorder="1" applyAlignment="1">
      <alignment horizontal="center" vertical="center" wrapText="1"/>
    </xf>
    <xf numFmtId="175" fontId="21" fillId="0" borderId="60" xfId="1" applyNumberFormat="1" applyFont="1" applyBorder="1" applyAlignment="1">
      <alignment horizontal="center" vertical="center"/>
    </xf>
    <xf numFmtId="0" fontId="0" fillId="0" borderId="68" xfId="0" applyFill="1" applyBorder="1" applyAlignment="1">
      <alignment vertical="justify"/>
    </xf>
    <xf numFmtId="0" fontId="0" fillId="0" borderId="0" xfId="0" applyFill="1" applyAlignment="1">
      <alignment horizontal="fill" vertical="justify"/>
    </xf>
    <xf numFmtId="43" fontId="0" fillId="0" borderId="0" xfId="0" applyNumberFormat="1" applyFill="1"/>
    <xf numFmtId="0" fontId="0" fillId="0" borderId="68" xfId="0" applyFill="1" applyBorder="1" applyAlignment="1">
      <alignment horizontal="fill" vertical="justify"/>
    </xf>
    <xf numFmtId="0" fontId="0" fillId="0" borderId="0" xfId="0" applyFill="1"/>
    <xf numFmtId="0" fontId="0" fillId="0" borderId="68" xfId="0" applyFill="1" applyBorder="1" applyAlignment="1">
      <alignment horizontal="center" vertical="center" wrapText="1"/>
    </xf>
    <xf numFmtId="43" fontId="0" fillId="0" borderId="0" xfId="1" applyNumberFormat="1" applyFont="1"/>
    <xf numFmtId="9" fontId="21" fillId="8" borderId="60" xfId="0" applyNumberFormat="1" applyFont="1" applyFill="1" applyBorder="1" applyAlignment="1">
      <alignment horizontal="center" vertical="center"/>
    </xf>
    <xf numFmtId="43" fontId="22" fillId="9" borderId="60" xfId="1" applyNumberFormat="1" applyFont="1" applyFill="1" applyBorder="1" applyAlignment="1">
      <alignment horizontal="center" vertical="center"/>
    </xf>
    <xf numFmtId="43" fontId="22" fillId="0" borderId="60" xfId="1" applyNumberFormat="1" applyFont="1" applyBorder="1" applyAlignment="1">
      <alignment horizontal="center" vertical="center"/>
    </xf>
    <xf numFmtId="43" fontId="21" fillId="8" borderId="60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justify" vertical="center"/>
    </xf>
    <xf numFmtId="0" fontId="23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43" fontId="22" fillId="0" borderId="0" xfId="0" applyNumberFormat="1" applyFont="1" applyBorder="1" applyAlignment="1">
      <alignment horizontal="center" vertical="center"/>
    </xf>
    <xf numFmtId="43" fontId="22" fillId="0" borderId="0" xfId="1" applyNumberFormat="1" applyFont="1" applyBorder="1" applyAlignment="1">
      <alignment horizontal="center" vertical="center"/>
    </xf>
    <xf numFmtId="43" fontId="21" fillId="0" borderId="60" xfId="1" applyNumberFormat="1" applyFont="1" applyBorder="1" applyAlignment="1">
      <alignment horizontal="center" vertical="center"/>
    </xf>
    <xf numFmtId="43" fontId="13" fillId="0" borderId="49" xfId="1" applyNumberFormat="1" applyFont="1" applyFill="1" applyBorder="1" applyAlignment="1">
      <alignment horizontal="right" vertical="center"/>
    </xf>
    <xf numFmtId="43" fontId="13" fillId="0" borderId="54" xfId="1" applyNumberFormat="1" applyFont="1" applyFill="1" applyBorder="1" applyAlignment="1">
      <alignment horizontal="right" vertical="center"/>
    </xf>
    <xf numFmtId="43" fontId="17" fillId="3" borderId="59" xfId="1" applyNumberFormat="1" applyFont="1" applyFill="1" applyBorder="1" applyAlignment="1">
      <alignment horizontal="right" vertical="center"/>
    </xf>
    <xf numFmtId="43" fontId="13" fillId="0" borderId="66" xfId="1" applyNumberFormat="1" applyFont="1" applyFill="1" applyBorder="1" applyAlignment="1">
      <alignment horizontal="right" vertical="center"/>
    </xf>
    <xf numFmtId="43" fontId="17" fillId="3" borderId="67" xfId="1" applyNumberFormat="1" applyFont="1" applyFill="1" applyBorder="1" applyAlignment="1">
      <alignment horizontal="right" vertical="center"/>
    </xf>
    <xf numFmtId="9" fontId="0" fillId="0" borderId="0" xfId="6" applyNumberFormat="1" applyFont="1"/>
  </cellXfs>
  <cellStyles count="7">
    <cellStyle name="Millares" xfId="1" builtinId="3"/>
    <cellStyle name="Normal" xfId="0" builtinId="0"/>
    <cellStyle name="Normal 10" xfId="4" xr:uid="{3DCCDBDB-19E9-4682-9B37-AA52E6BCCC02}"/>
    <cellStyle name="Normal 2 3" xfId="2" xr:uid="{05EC726B-59B8-418F-823B-6024C31C7500}"/>
    <cellStyle name="Porcentaje" xfId="6" builtinId="5"/>
    <cellStyle name="Porcentaje 10" xfId="3" xr:uid="{5245E92A-7E2E-4B53-BE83-C01C690C139A}"/>
    <cellStyle name="Porcentaje 2" xfId="5" xr:uid="{6545D960-A07E-4610-A556-194A95DB536C}"/>
  </cellStyles>
  <dxfs count="34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D1FF-E477-4223-B991-EB8C7A9B2C08}">
  <dimension ref="A1:L121"/>
  <sheetViews>
    <sheetView tabSelected="1" topLeftCell="A107" zoomScale="138" zoomScaleNormal="148" zoomScaleSheetLayoutView="220" workbookViewId="0">
      <selection activeCell="C124" sqref="C124"/>
    </sheetView>
  </sheetViews>
  <sheetFormatPr baseColWidth="10" defaultRowHeight="15" x14ac:dyDescent="0.25"/>
  <cols>
    <col min="1" max="1" width="20.7109375" customWidth="1"/>
    <col min="2" max="2" width="18.85546875" customWidth="1"/>
    <col min="3" max="3" width="10.5703125" customWidth="1"/>
    <col min="4" max="4" width="11.28515625" customWidth="1"/>
    <col min="5" max="5" width="13.28515625" customWidth="1"/>
    <col min="6" max="6" width="13.7109375" customWidth="1"/>
    <col min="7" max="7" width="22.140625" customWidth="1"/>
    <col min="8" max="9" width="13.42578125" bestFit="1" customWidth="1"/>
    <col min="10" max="10" width="20.5703125" customWidth="1"/>
    <col min="11" max="11" width="36" customWidth="1"/>
    <col min="12" max="12" width="17.5703125" customWidth="1"/>
  </cols>
  <sheetData>
    <row r="1" spans="1:10" ht="25.5" thickBot="1" x14ac:dyDescent="0.3">
      <c r="A1" s="1" t="s">
        <v>66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25">
      <c r="A2" s="141" t="s">
        <v>0</v>
      </c>
      <c r="B2" s="4"/>
      <c r="C2" s="137" t="s">
        <v>1</v>
      </c>
      <c r="D2" s="137" t="s">
        <v>2</v>
      </c>
      <c r="E2" s="137" t="s">
        <v>3</v>
      </c>
      <c r="F2" s="137" t="s">
        <v>4</v>
      </c>
      <c r="G2" s="137" t="s">
        <v>5</v>
      </c>
      <c r="H2" s="137" t="s">
        <v>6</v>
      </c>
      <c r="I2" s="137" t="s">
        <v>7</v>
      </c>
      <c r="J2" s="139" t="s">
        <v>8</v>
      </c>
    </row>
    <row r="3" spans="1:10" x14ac:dyDescent="0.25">
      <c r="A3" s="142"/>
      <c r="B3" s="5"/>
      <c r="C3" s="138"/>
      <c r="D3" s="138"/>
      <c r="E3" s="138"/>
      <c r="F3" s="138"/>
      <c r="G3" s="138"/>
      <c r="H3" s="138"/>
      <c r="I3" s="138"/>
      <c r="J3" s="140"/>
    </row>
    <row r="4" spans="1:10" x14ac:dyDescent="0.25">
      <c r="A4" s="142"/>
      <c r="B4" s="5"/>
      <c r="C4" s="138"/>
      <c r="D4" s="138"/>
      <c r="E4" s="138"/>
      <c r="F4" s="138"/>
      <c r="G4" s="138"/>
      <c r="H4" s="138"/>
      <c r="I4" s="138"/>
      <c r="J4" s="140"/>
    </row>
    <row r="5" spans="1:10" ht="17.25" thickBot="1" x14ac:dyDescent="0.3">
      <c r="A5" s="6" t="s">
        <v>9</v>
      </c>
      <c r="B5" s="7"/>
      <c r="C5" s="7"/>
      <c r="D5" s="8"/>
      <c r="E5" s="8"/>
      <c r="F5" s="8"/>
      <c r="G5" s="9"/>
      <c r="H5" s="9"/>
      <c r="I5" s="128">
        <v>0.47110000000000002</v>
      </c>
      <c r="J5" s="10">
        <f>+J6+J23+J25+J37+J43+J56+J76+J83+J97</f>
        <v>3404041.2</v>
      </c>
    </row>
    <row r="6" spans="1:10" x14ac:dyDescent="0.25">
      <c r="A6" s="11" t="s">
        <v>10</v>
      </c>
      <c r="B6" s="12"/>
      <c r="C6" s="13"/>
      <c r="D6" s="13"/>
      <c r="E6" s="12"/>
      <c r="F6" s="14">
        <f>SUM(F8:F22)</f>
        <v>12</v>
      </c>
      <c r="G6" s="12"/>
      <c r="H6" s="12" t="s">
        <v>11</v>
      </c>
      <c r="I6" s="12"/>
      <c r="J6" s="15">
        <f>J7</f>
        <v>1165111.2</v>
      </c>
    </row>
    <row r="7" spans="1:10" x14ac:dyDescent="0.25">
      <c r="A7" s="16" t="s">
        <v>12</v>
      </c>
      <c r="B7" s="17"/>
      <c r="C7" s="18"/>
      <c r="D7" s="19"/>
      <c r="E7" s="19"/>
      <c r="F7" s="20">
        <f>SUM(F8:F22)</f>
        <v>12</v>
      </c>
      <c r="G7" s="21"/>
      <c r="H7" s="21"/>
      <c r="I7" s="22"/>
      <c r="J7" s="23">
        <f>SUM(J8:J21)</f>
        <v>1165111.2</v>
      </c>
    </row>
    <row r="8" spans="1:10" x14ac:dyDescent="0.25">
      <c r="A8" s="127" t="s">
        <v>70</v>
      </c>
      <c r="B8" s="106"/>
      <c r="C8" s="126" t="s">
        <v>58</v>
      </c>
      <c r="D8" s="107"/>
      <c r="E8" s="107"/>
      <c r="F8" s="108">
        <v>1</v>
      </c>
      <c r="G8" s="109">
        <v>12</v>
      </c>
      <c r="H8" s="109">
        <f>+'Planilla-Cañete'!D8</f>
        <v>7500</v>
      </c>
      <c r="I8" s="110">
        <f>+H8*(1+$I$5)</f>
        <v>11033.25</v>
      </c>
      <c r="J8" s="110">
        <f>+G8*I8</f>
        <v>132399</v>
      </c>
    </row>
    <row r="9" spans="1:10" x14ac:dyDescent="0.25">
      <c r="A9" s="106"/>
      <c r="B9" s="106"/>
      <c r="C9" s="126" t="s">
        <v>13</v>
      </c>
      <c r="D9" s="107"/>
      <c r="E9" s="107"/>
      <c r="F9" s="108">
        <v>1</v>
      </c>
      <c r="G9" s="109">
        <v>12</v>
      </c>
      <c r="H9" s="109">
        <f>+'Planilla-Cañete'!D9</f>
        <v>5500</v>
      </c>
      <c r="I9" s="110">
        <f t="shared" ref="I9:I21" si="0">+H9*(1+$I$5)</f>
        <v>8091.05</v>
      </c>
      <c r="J9" s="110">
        <f t="shared" ref="J9:J13" si="1">+G9*I9</f>
        <v>97092.6</v>
      </c>
    </row>
    <row r="10" spans="1:10" x14ac:dyDescent="0.25">
      <c r="A10" s="106"/>
      <c r="B10" s="106"/>
      <c r="C10" s="126" t="s">
        <v>57</v>
      </c>
      <c r="D10" s="107"/>
      <c r="E10" s="107"/>
      <c r="F10" s="108">
        <v>1</v>
      </c>
      <c r="G10" s="109">
        <v>12</v>
      </c>
      <c r="H10" s="109">
        <f>+'Planilla-Cañete'!D11</f>
        <v>5500</v>
      </c>
      <c r="I10" s="110">
        <f t="shared" si="0"/>
        <v>8091.05</v>
      </c>
      <c r="J10" s="110">
        <f t="shared" si="1"/>
        <v>97092.6</v>
      </c>
    </row>
    <row r="11" spans="1:10" x14ac:dyDescent="0.25">
      <c r="A11" s="106"/>
      <c r="B11" s="106"/>
      <c r="C11" s="126" t="s">
        <v>59</v>
      </c>
      <c r="D11" s="107"/>
      <c r="E11" s="107"/>
      <c r="F11" s="108">
        <v>1</v>
      </c>
      <c r="G11" s="109">
        <v>12</v>
      </c>
      <c r="H11" s="109">
        <f>+'Planilla-Cañete'!D11</f>
        <v>5500</v>
      </c>
      <c r="I11" s="110">
        <f t="shared" si="0"/>
        <v>8091.05</v>
      </c>
      <c r="J11" s="110">
        <f t="shared" si="1"/>
        <v>97092.6</v>
      </c>
    </row>
    <row r="12" spans="1:10" x14ac:dyDescent="0.25">
      <c r="A12" s="106"/>
      <c r="B12" s="106"/>
      <c r="C12" s="126" t="s">
        <v>60</v>
      </c>
      <c r="D12" s="107"/>
      <c r="E12" s="107"/>
      <c r="F12" s="108">
        <v>1</v>
      </c>
      <c r="G12" s="109">
        <v>12</v>
      </c>
      <c r="H12" s="109">
        <f>+'Planilla-Cañete'!D12</f>
        <v>5500</v>
      </c>
      <c r="I12" s="110">
        <f t="shared" si="0"/>
        <v>8091.05</v>
      </c>
      <c r="J12" s="110">
        <f t="shared" si="1"/>
        <v>97092.6</v>
      </c>
    </row>
    <row r="13" spans="1:10" x14ac:dyDescent="0.25">
      <c r="A13" s="106"/>
      <c r="B13" s="106"/>
      <c r="C13" s="126" t="s">
        <v>61</v>
      </c>
      <c r="D13" s="107"/>
      <c r="E13" s="107"/>
      <c r="F13" s="108">
        <v>1</v>
      </c>
      <c r="G13" s="109">
        <v>12</v>
      </c>
      <c r="H13" s="109">
        <f>+'Planilla-Cañete'!D13</f>
        <v>3500</v>
      </c>
      <c r="I13" s="110">
        <f t="shared" si="0"/>
        <v>5148.8500000000004</v>
      </c>
      <c r="J13" s="110">
        <f t="shared" si="1"/>
        <v>61786.200000000004</v>
      </c>
    </row>
    <row r="14" spans="1:10" x14ac:dyDescent="0.25">
      <c r="A14" s="106"/>
      <c r="B14" s="106"/>
      <c r="C14" s="126"/>
      <c r="D14" s="107"/>
      <c r="E14" s="107"/>
      <c r="F14" s="108"/>
      <c r="G14" s="109"/>
      <c r="H14" s="109"/>
      <c r="I14" s="110"/>
      <c r="J14" s="110"/>
    </row>
    <row r="15" spans="1:10" x14ac:dyDescent="0.25">
      <c r="A15" s="127" t="s">
        <v>71</v>
      </c>
      <c r="B15" s="106"/>
      <c r="C15" s="106"/>
      <c r="D15" s="107"/>
      <c r="E15" s="107"/>
      <c r="F15" s="108"/>
      <c r="G15" s="109"/>
      <c r="H15" s="109"/>
      <c r="I15" s="110"/>
      <c r="J15" s="110"/>
    </row>
    <row r="16" spans="1:10" x14ac:dyDescent="0.25">
      <c r="A16" s="127"/>
      <c r="B16" s="106"/>
      <c r="C16" s="126" t="s">
        <v>58</v>
      </c>
      <c r="D16" s="107"/>
      <c r="E16" s="107"/>
      <c r="F16" s="108">
        <v>1</v>
      </c>
      <c r="G16" s="109">
        <v>12</v>
      </c>
      <c r="H16" s="109">
        <f>+'Planilla-Huaura'!D8</f>
        <v>7500</v>
      </c>
      <c r="I16" s="110">
        <f t="shared" si="0"/>
        <v>11033.25</v>
      </c>
      <c r="J16" s="110">
        <f t="shared" ref="J16:J21" si="2">+G16*I16</f>
        <v>132399</v>
      </c>
    </row>
    <row r="17" spans="1:12" x14ac:dyDescent="0.25">
      <c r="A17" s="127"/>
      <c r="B17" s="106"/>
      <c r="C17" s="126" t="s">
        <v>13</v>
      </c>
      <c r="D17" s="107"/>
      <c r="E17" s="107"/>
      <c r="F17" s="108">
        <v>1</v>
      </c>
      <c r="G17" s="109">
        <v>12</v>
      </c>
      <c r="H17" s="109">
        <f>+'Planilla-Huaura'!D9</f>
        <v>5500</v>
      </c>
      <c r="I17" s="110">
        <f t="shared" si="0"/>
        <v>8091.05</v>
      </c>
      <c r="J17" s="110">
        <f t="shared" si="2"/>
        <v>97092.6</v>
      </c>
    </row>
    <row r="18" spans="1:12" x14ac:dyDescent="0.25">
      <c r="A18" s="127"/>
      <c r="B18" s="106"/>
      <c r="C18" s="126" t="s">
        <v>57</v>
      </c>
      <c r="D18" s="107"/>
      <c r="E18" s="107"/>
      <c r="F18" s="108">
        <v>1</v>
      </c>
      <c r="G18" s="109">
        <v>12</v>
      </c>
      <c r="H18" s="109">
        <f>+'Planilla-Huaura'!D10</f>
        <v>5500</v>
      </c>
      <c r="I18" s="110">
        <f t="shared" si="0"/>
        <v>8091.05</v>
      </c>
      <c r="J18" s="110">
        <f t="shared" si="2"/>
        <v>97092.6</v>
      </c>
    </row>
    <row r="19" spans="1:12" x14ac:dyDescent="0.25">
      <c r="A19" s="127"/>
      <c r="B19" s="106"/>
      <c r="C19" s="126" t="s">
        <v>59</v>
      </c>
      <c r="D19" s="107"/>
      <c r="E19" s="107"/>
      <c r="F19" s="108">
        <v>1</v>
      </c>
      <c r="G19" s="109">
        <v>12</v>
      </c>
      <c r="H19" s="109">
        <f>+'Planilla-Huaura'!D11</f>
        <v>5500</v>
      </c>
      <c r="I19" s="110">
        <f t="shared" si="0"/>
        <v>8091.05</v>
      </c>
      <c r="J19" s="110">
        <f t="shared" si="2"/>
        <v>97092.6</v>
      </c>
    </row>
    <row r="20" spans="1:12" x14ac:dyDescent="0.25">
      <c r="A20" s="127"/>
      <c r="B20" s="106"/>
      <c r="C20" s="126" t="s">
        <v>60</v>
      </c>
      <c r="D20" s="107"/>
      <c r="E20" s="107"/>
      <c r="F20" s="108">
        <v>1</v>
      </c>
      <c r="G20" s="109">
        <v>12</v>
      </c>
      <c r="H20" s="109">
        <f>+'Planilla-Huaura'!D12</f>
        <v>5500</v>
      </c>
      <c r="I20" s="110">
        <f t="shared" si="0"/>
        <v>8091.05</v>
      </c>
      <c r="J20" s="110">
        <f t="shared" si="2"/>
        <v>97092.6</v>
      </c>
    </row>
    <row r="21" spans="1:12" x14ac:dyDescent="0.25">
      <c r="A21" s="127"/>
      <c r="B21" s="106"/>
      <c r="C21" s="126" t="s">
        <v>61</v>
      </c>
      <c r="D21" s="107"/>
      <c r="E21" s="107"/>
      <c r="F21" s="108">
        <v>1</v>
      </c>
      <c r="G21" s="109">
        <v>12</v>
      </c>
      <c r="H21" s="109">
        <f>+'Planilla-Huaura'!D13</f>
        <v>3500</v>
      </c>
      <c r="I21" s="110">
        <f t="shared" si="0"/>
        <v>5148.8500000000004</v>
      </c>
      <c r="J21" s="110">
        <f t="shared" si="2"/>
        <v>61786.200000000004</v>
      </c>
    </row>
    <row r="22" spans="1:12" x14ac:dyDescent="0.25">
      <c r="A22" s="106"/>
      <c r="B22" s="106"/>
      <c r="C22" s="106"/>
      <c r="D22" s="111"/>
      <c r="E22" s="107"/>
      <c r="F22" s="108"/>
      <c r="G22" s="109"/>
      <c r="H22" s="109"/>
      <c r="I22" s="110"/>
      <c r="J22" s="110"/>
    </row>
    <row r="23" spans="1:12" x14ac:dyDescent="0.25">
      <c r="A23" s="35" t="s">
        <v>14</v>
      </c>
      <c r="B23" s="36"/>
      <c r="C23" s="37"/>
      <c r="D23" s="37"/>
      <c r="E23" s="36"/>
      <c r="F23" s="38" t="s">
        <v>4</v>
      </c>
      <c r="G23" s="38"/>
      <c r="H23" s="36"/>
      <c r="I23" s="38" t="s">
        <v>72</v>
      </c>
      <c r="J23" s="39">
        <f>SUM(J24:J24)</f>
        <v>39600</v>
      </c>
      <c r="L23" s="159"/>
    </row>
    <row r="24" spans="1:12" x14ac:dyDescent="0.25">
      <c r="A24" s="40" t="s">
        <v>15</v>
      </c>
      <c r="B24" s="41"/>
      <c r="C24" s="24"/>
      <c r="D24" s="25"/>
      <c r="E24" s="25"/>
      <c r="F24" s="26">
        <f>132*2</f>
        <v>264</v>
      </c>
      <c r="G24" s="27"/>
      <c r="H24" s="27"/>
      <c r="I24" s="29">
        <v>150</v>
      </c>
      <c r="J24" s="131">
        <f>+F24*I24</f>
        <v>39600</v>
      </c>
    </row>
    <row r="25" spans="1:12" x14ac:dyDescent="0.25">
      <c r="A25" s="35" t="s">
        <v>16</v>
      </c>
      <c r="B25" s="36"/>
      <c r="C25" s="37"/>
      <c r="D25" s="37"/>
      <c r="E25" s="36"/>
      <c r="F25" s="38"/>
      <c r="G25" s="36"/>
      <c r="H25" s="36"/>
      <c r="I25" s="36"/>
      <c r="J25" s="39">
        <f>J26+J28+J32</f>
        <v>42510</v>
      </c>
      <c r="L25" s="159"/>
    </row>
    <row r="26" spans="1:12" x14ac:dyDescent="0.25">
      <c r="A26" s="16" t="s">
        <v>17</v>
      </c>
      <c r="B26" s="17"/>
      <c r="C26" s="18"/>
      <c r="D26" s="19"/>
      <c r="E26" s="19"/>
      <c r="F26" s="20"/>
      <c r="G26" s="21"/>
      <c r="H26" s="21"/>
      <c r="I26" s="22"/>
      <c r="J26" s="23">
        <f>SUM(J27:J27)</f>
        <v>17060</v>
      </c>
      <c r="L26" s="160"/>
    </row>
    <row r="27" spans="1:12" x14ac:dyDescent="0.25">
      <c r="A27" s="42" t="s">
        <v>18</v>
      </c>
      <c r="B27" s="43"/>
      <c r="C27" s="24"/>
      <c r="D27" s="25"/>
      <c r="E27" s="25"/>
      <c r="F27" s="44">
        <v>18</v>
      </c>
      <c r="G27" s="27">
        <v>12</v>
      </c>
      <c r="H27" s="29"/>
      <c r="I27" s="45">
        <v>78.98</v>
      </c>
      <c r="J27" s="30">
        <v>17060</v>
      </c>
      <c r="K27" s="160"/>
    </row>
    <row r="28" spans="1:12" x14ac:dyDescent="0.25">
      <c r="A28" s="16" t="s">
        <v>19</v>
      </c>
      <c r="B28" s="17"/>
      <c r="C28" s="18"/>
      <c r="D28" s="19"/>
      <c r="E28" s="19"/>
      <c r="F28" s="20"/>
      <c r="G28" s="21"/>
      <c r="H28" s="21"/>
      <c r="I28" s="22"/>
      <c r="J28" s="23">
        <f>SUM(J29:J31)</f>
        <v>9000</v>
      </c>
    </row>
    <row r="29" spans="1:12" x14ac:dyDescent="0.25">
      <c r="A29" s="40" t="s">
        <v>20</v>
      </c>
      <c r="B29" s="41"/>
      <c r="C29" s="24"/>
      <c r="D29" s="25"/>
      <c r="E29" s="25"/>
      <c r="F29" s="26">
        <v>9</v>
      </c>
      <c r="G29" s="46">
        <v>1</v>
      </c>
      <c r="H29" s="27"/>
      <c r="I29" s="29">
        <v>500</v>
      </c>
      <c r="J29" s="30">
        <f>+F29*I29</f>
        <v>4500</v>
      </c>
    </row>
    <row r="30" spans="1:12" x14ac:dyDescent="0.25">
      <c r="A30" s="40" t="s">
        <v>21</v>
      </c>
      <c r="B30" s="41"/>
      <c r="C30" s="24"/>
      <c r="D30" s="25"/>
      <c r="E30" s="25"/>
      <c r="F30" s="26"/>
      <c r="G30" s="46"/>
      <c r="H30" s="27"/>
      <c r="I30" s="29"/>
      <c r="J30" s="30"/>
    </row>
    <row r="31" spans="1:12" x14ac:dyDescent="0.25">
      <c r="A31" s="40" t="s">
        <v>22</v>
      </c>
      <c r="B31" s="41"/>
      <c r="C31" s="24"/>
      <c r="D31" s="25"/>
      <c r="E31" s="25"/>
      <c r="F31" s="26">
        <v>9</v>
      </c>
      <c r="G31" s="46">
        <v>1</v>
      </c>
      <c r="H31" s="27"/>
      <c r="I31" s="29">
        <v>500</v>
      </c>
      <c r="J31" s="30">
        <f>+F31*I31</f>
        <v>4500</v>
      </c>
    </row>
    <row r="32" spans="1:12" x14ac:dyDescent="0.25">
      <c r="A32" s="16" t="s">
        <v>23</v>
      </c>
      <c r="B32" s="17"/>
      <c r="C32" s="18"/>
      <c r="D32" s="19"/>
      <c r="E32" s="19"/>
      <c r="F32" s="20"/>
      <c r="G32" s="21"/>
      <c r="H32" s="21"/>
      <c r="I32" s="22"/>
      <c r="J32" s="23">
        <f>SUM(J33:J36)</f>
        <v>16450</v>
      </c>
      <c r="K32" s="160"/>
      <c r="L32" s="160"/>
    </row>
    <row r="33" spans="1:12" x14ac:dyDescent="0.25">
      <c r="A33" s="47" t="s">
        <v>73</v>
      </c>
      <c r="B33" s="48"/>
      <c r="C33" s="24"/>
      <c r="D33" s="25"/>
      <c r="E33" s="25"/>
      <c r="F33" s="26"/>
      <c r="G33" s="46"/>
      <c r="H33" s="27"/>
      <c r="I33" s="46"/>
      <c r="J33" s="30">
        <v>9600</v>
      </c>
    </row>
    <row r="34" spans="1:12" x14ac:dyDescent="0.25">
      <c r="A34" s="47" t="s">
        <v>74</v>
      </c>
      <c r="B34" s="48"/>
      <c r="C34" s="24"/>
      <c r="D34" s="25"/>
      <c r="E34" s="25"/>
      <c r="F34" s="26"/>
      <c r="G34" s="46"/>
      <c r="H34" s="27"/>
      <c r="I34" s="29"/>
      <c r="J34" s="30">
        <v>6000</v>
      </c>
    </row>
    <row r="35" spans="1:12" x14ac:dyDescent="0.25">
      <c r="A35" s="47" t="s">
        <v>75</v>
      </c>
      <c r="B35" s="48"/>
      <c r="C35" s="24"/>
      <c r="D35" s="25"/>
      <c r="E35" s="25"/>
      <c r="F35" s="26"/>
      <c r="G35" s="46"/>
      <c r="H35" s="27"/>
      <c r="I35" s="29"/>
      <c r="J35" s="30">
        <f>480+270</f>
        <v>750</v>
      </c>
    </row>
    <row r="36" spans="1:12" x14ac:dyDescent="0.25">
      <c r="A36" s="47" t="s">
        <v>76</v>
      </c>
      <c r="B36" s="48"/>
      <c r="C36" s="24"/>
      <c r="D36" s="25"/>
      <c r="E36" s="25"/>
      <c r="F36" s="26"/>
      <c r="G36" s="46"/>
      <c r="H36" s="27"/>
      <c r="I36" s="29"/>
      <c r="J36" s="30">
        <v>100</v>
      </c>
    </row>
    <row r="37" spans="1:12" x14ac:dyDescent="0.25">
      <c r="A37" s="35" t="s">
        <v>24</v>
      </c>
      <c r="B37" s="36"/>
      <c r="C37" s="37"/>
      <c r="D37" s="37"/>
      <c r="E37" s="36"/>
      <c r="F37" s="38"/>
      <c r="G37" s="36"/>
      <c r="H37" s="36"/>
      <c r="I37" s="36"/>
      <c r="J37" s="39">
        <f>SUM(J38:J42)</f>
        <v>289720</v>
      </c>
      <c r="L37" s="159"/>
    </row>
    <row r="38" spans="1:12" x14ac:dyDescent="0.25">
      <c r="A38" s="40" t="s">
        <v>107</v>
      </c>
      <c r="B38" s="41"/>
      <c r="C38" s="24"/>
      <c r="D38" s="25"/>
      <c r="E38" s="25"/>
      <c r="F38" s="26">
        <v>10</v>
      </c>
      <c r="G38" s="46">
        <f>12*20</f>
        <v>240</v>
      </c>
      <c r="H38" s="27"/>
      <c r="I38" s="46">
        <v>40</v>
      </c>
      <c r="J38" s="30">
        <f>+F38*G38*I38</f>
        <v>96000</v>
      </c>
    </row>
    <row r="39" spans="1:12" x14ac:dyDescent="0.25">
      <c r="A39" s="40" t="s">
        <v>79</v>
      </c>
      <c r="B39" s="41"/>
      <c r="C39" s="24"/>
      <c r="D39" s="25"/>
      <c r="E39" s="25"/>
      <c r="F39" s="26">
        <v>10</v>
      </c>
      <c r="G39" s="46">
        <f>12*20</f>
        <v>240</v>
      </c>
      <c r="H39" s="27"/>
      <c r="I39" s="46">
        <v>40</v>
      </c>
      <c r="J39" s="30">
        <f>+F39*G39*I39</f>
        <v>96000</v>
      </c>
    </row>
    <row r="40" spans="1:12" x14ac:dyDescent="0.25">
      <c r="A40" s="47" t="s">
        <v>77</v>
      </c>
      <c r="B40" s="48"/>
      <c r="C40" s="31"/>
      <c r="D40" s="25"/>
      <c r="E40" s="25"/>
      <c r="F40" s="32">
        <v>1</v>
      </c>
      <c r="G40" s="46">
        <v>12</v>
      </c>
      <c r="H40" s="27"/>
      <c r="I40" s="46">
        <v>3000</v>
      </c>
      <c r="J40" s="30">
        <f>+G40*I40</f>
        <v>36000</v>
      </c>
    </row>
    <row r="41" spans="1:12" x14ac:dyDescent="0.25">
      <c r="A41" s="47" t="s">
        <v>78</v>
      </c>
      <c r="B41" s="48"/>
      <c r="C41" s="31"/>
      <c r="D41" s="25"/>
      <c r="E41" s="25"/>
      <c r="F41" s="32">
        <v>1</v>
      </c>
      <c r="G41" s="46">
        <v>12</v>
      </c>
      <c r="H41" s="46"/>
      <c r="I41" s="33">
        <v>3000</v>
      </c>
      <c r="J41" s="30">
        <f>+G41*I41</f>
        <v>36000</v>
      </c>
    </row>
    <row r="42" spans="1:12" x14ac:dyDescent="0.25">
      <c r="A42" s="47" t="s">
        <v>108</v>
      </c>
      <c r="B42" s="48"/>
      <c r="C42" s="31"/>
      <c r="D42" s="25"/>
      <c r="E42" s="25"/>
      <c r="F42" s="32">
        <v>1</v>
      </c>
      <c r="G42" s="27"/>
      <c r="H42" s="46"/>
      <c r="I42" s="33"/>
      <c r="J42" s="30">
        <v>25720</v>
      </c>
    </row>
    <row r="43" spans="1:12" x14ac:dyDescent="0.25">
      <c r="A43" s="35" t="s">
        <v>25</v>
      </c>
      <c r="B43" s="36"/>
      <c r="C43" s="37"/>
      <c r="D43" s="37"/>
      <c r="E43" s="36"/>
      <c r="F43" s="38"/>
      <c r="G43" s="36"/>
      <c r="H43" s="36"/>
      <c r="I43" s="36"/>
      <c r="J43" s="39">
        <f>J44+J53</f>
        <v>128600</v>
      </c>
      <c r="L43" s="159"/>
    </row>
    <row r="44" spans="1:12" x14ac:dyDescent="0.25">
      <c r="A44" s="16" t="s">
        <v>64</v>
      </c>
      <c r="B44" s="17"/>
      <c r="C44" s="18"/>
      <c r="D44" s="19"/>
      <c r="E44" s="19"/>
      <c r="F44" s="20"/>
      <c r="G44" s="21"/>
      <c r="H44" s="21"/>
      <c r="I44" s="22"/>
      <c r="J44" s="23">
        <f>SUM(J45:J52)</f>
        <v>128600</v>
      </c>
    </row>
    <row r="45" spans="1:12" x14ac:dyDescent="0.25">
      <c r="A45" s="47" t="s">
        <v>110</v>
      </c>
      <c r="B45" s="48"/>
      <c r="C45" s="31"/>
      <c r="D45" s="25"/>
      <c r="E45" s="25"/>
      <c r="F45" s="32">
        <v>1</v>
      </c>
      <c r="G45" s="46">
        <v>12</v>
      </c>
      <c r="H45" s="46"/>
      <c r="I45" s="33">
        <v>2500</v>
      </c>
      <c r="J45" s="34">
        <f>+G45*I45</f>
        <v>30000</v>
      </c>
    </row>
    <row r="46" spans="1:12" x14ac:dyDescent="0.25">
      <c r="A46" s="47" t="s">
        <v>99</v>
      </c>
      <c r="B46" s="48"/>
      <c r="C46" s="31"/>
      <c r="D46" s="25"/>
      <c r="E46" s="25"/>
      <c r="F46" s="32">
        <v>1</v>
      </c>
      <c r="G46" s="46">
        <v>12</v>
      </c>
      <c r="H46" s="46"/>
      <c r="I46" s="33">
        <v>3000</v>
      </c>
      <c r="J46" s="34">
        <f>+G46*I46</f>
        <v>36000</v>
      </c>
    </row>
    <row r="47" spans="1:12" x14ac:dyDescent="0.25">
      <c r="A47" s="47" t="s">
        <v>109</v>
      </c>
      <c r="B47" s="48"/>
      <c r="C47" s="31"/>
      <c r="D47" s="25"/>
      <c r="E47" s="25"/>
      <c r="F47" s="32">
        <v>1</v>
      </c>
      <c r="G47" s="27">
        <v>12</v>
      </c>
      <c r="H47" s="46"/>
      <c r="I47" s="33">
        <f>+J47/G47</f>
        <v>300</v>
      </c>
      <c r="J47" s="30">
        <v>3600</v>
      </c>
    </row>
    <row r="48" spans="1:12" x14ac:dyDescent="0.25">
      <c r="A48" s="47" t="s">
        <v>93</v>
      </c>
      <c r="B48" s="48"/>
      <c r="C48" s="31"/>
      <c r="D48" s="25"/>
      <c r="E48" s="25"/>
      <c r="F48" s="32">
        <v>1</v>
      </c>
      <c r="G48" s="27">
        <v>12</v>
      </c>
      <c r="H48" s="46"/>
      <c r="I48" s="46">
        <v>800</v>
      </c>
      <c r="J48" s="30">
        <f>+G48*I48</f>
        <v>9600</v>
      </c>
    </row>
    <row r="49" spans="1:12" x14ac:dyDescent="0.25">
      <c r="A49" s="49" t="s">
        <v>94</v>
      </c>
      <c r="B49" s="50"/>
      <c r="C49" s="51"/>
      <c r="D49" s="25"/>
      <c r="E49" s="25"/>
      <c r="F49" s="52">
        <v>1</v>
      </c>
      <c r="G49" s="28">
        <v>12</v>
      </c>
      <c r="H49" s="28"/>
      <c r="I49" s="53">
        <v>800</v>
      </c>
      <c r="J49" s="30">
        <f>+G49*I49</f>
        <v>9600</v>
      </c>
    </row>
    <row r="50" spans="1:12" x14ac:dyDescent="0.25">
      <c r="A50" s="47" t="s">
        <v>104</v>
      </c>
      <c r="B50" s="48"/>
      <c r="C50" s="31"/>
      <c r="D50" s="25"/>
      <c r="E50" s="25"/>
      <c r="F50" s="32">
        <v>1</v>
      </c>
      <c r="G50" s="46">
        <v>12</v>
      </c>
      <c r="H50" s="46"/>
      <c r="I50" s="33">
        <f>+J50/G50</f>
        <v>2013.3333333333333</v>
      </c>
      <c r="J50" s="34">
        <v>24160</v>
      </c>
    </row>
    <row r="51" spans="1:12" x14ac:dyDescent="0.25">
      <c r="A51" s="42" t="s">
        <v>98</v>
      </c>
      <c r="B51" s="154"/>
      <c r="C51" s="154"/>
      <c r="D51" s="155"/>
      <c r="E51" s="155"/>
      <c r="F51" s="156">
        <v>1</v>
      </c>
      <c r="G51" s="157">
        <v>12</v>
      </c>
      <c r="H51" s="157"/>
      <c r="I51" s="158">
        <f>+J51/G51</f>
        <v>953.33333333333337</v>
      </c>
      <c r="J51" s="136">
        <f>11440</f>
        <v>11440</v>
      </c>
    </row>
    <row r="52" spans="1:12" x14ac:dyDescent="0.25">
      <c r="A52" s="42" t="s">
        <v>100</v>
      </c>
      <c r="B52" s="154"/>
      <c r="C52" s="154"/>
      <c r="D52" s="155"/>
      <c r="E52" s="155"/>
      <c r="F52" s="156">
        <v>1</v>
      </c>
      <c r="G52" s="157">
        <v>12</v>
      </c>
      <c r="H52" s="157"/>
      <c r="I52" s="158">
        <f>+J52/G52</f>
        <v>350</v>
      </c>
      <c r="J52" s="136">
        <v>4200</v>
      </c>
    </row>
    <row r="53" spans="1:12" x14ac:dyDescent="0.25">
      <c r="A53" s="16"/>
      <c r="B53" s="17"/>
      <c r="C53" s="18"/>
      <c r="D53" s="19"/>
      <c r="E53" s="19"/>
      <c r="F53" s="20"/>
      <c r="G53" s="21"/>
      <c r="H53" s="21"/>
      <c r="I53" s="22"/>
      <c r="J53" s="23"/>
    </row>
    <row r="54" spans="1:12" x14ac:dyDescent="0.25">
      <c r="A54" s="47"/>
      <c r="B54" s="48"/>
      <c r="C54" s="31"/>
      <c r="D54" s="25"/>
      <c r="E54" s="25"/>
      <c r="F54" s="32"/>
      <c r="G54" s="46"/>
      <c r="H54" s="46"/>
      <c r="I54" s="33"/>
      <c r="J54" s="34"/>
    </row>
    <row r="55" spans="1:12" x14ac:dyDescent="0.25">
      <c r="A55" s="47"/>
      <c r="B55" s="48"/>
      <c r="C55" s="31"/>
      <c r="D55" s="25"/>
      <c r="E55" s="25"/>
      <c r="F55" s="32"/>
      <c r="G55" s="46"/>
      <c r="H55" s="46"/>
      <c r="I55" s="33"/>
      <c r="J55" s="34"/>
    </row>
    <row r="56" spans="1:12" x14ac:dyDescent="0.25">
      <c r="A56" s="35" t="s">
        <v>26</v>
      </c>
      <c r="B56" s="36"/>
      <c r="C56" s="37"/>
      <c r="D56" s="37"/>
      <c r="E56" s="36"/>
      <c r="F56" s="38"/>
      <c r="G56" s="36"/>
      <c r="H56" s="36"/>
      <c r="I56" s="36"/>
      <c r="J56" s="39">
        <f>J57+J67+J73</f>
        <v>124040</v>
      </c>
      <c r="L56" s="159"/>
    </row>
    <row r="57" spans="1:12" x14ac:dyDescent="0.25">
      <c r="A57" s="55" t="s">
        <v>27</v>
      </c>
      <c r="B57" s="56"/>
      <c r="C57" s="57"/>
      <c r="D57" s="58"/>
      <c r="E57" s="58"/>
      <c r="F57" s="59"/>
      <c r="G57" s="60"/>
      <c r="H57" s="60"/>
      <c r="I57" s="61"/>
      <c r="J57" s="62">
        <f>SUM(J58:J66)</f>
        <v>100260</v>
      </c>
    </row>
    <row r="58" spans="1:12" x14ac:dyDescent="0.25">
      <c r="A58" s="47" t="s">
        <v>83</v>
      </c>
      <c r="B58" s="48"/>
      <c r="C58" s="31"/>
      <c r="D58" s="25"/>
      <c r="E58" s="25"/>
      <c r="F58" s="32">
        <v>2</v>
      </c>
      <c r="G58" s="46"/>
      <c r="H58" s="46"/>
      <c r="I58" s="33">
        <v>2000</v>
      </c>
      <c r="J58" s="34">
        <f>+F58*I58</f>
        <v>4000</v>
      </c>
    </row>
    <row r="59" spans="1:12" x14ac:dyDescent="0.25">
      <c r="A59" s="47" t="s">
        <v>84</v>
      </c>
      <c r="B59" s="48"/>
      <c r="C59" s="31"/>
      <c r="D59" s="25"/>
      <c r="E59" s="25"/>
      <c r="F59" s="32">
        <v>6</v>
      </c>
      <c r="G59" s="46"/>
      <c r="H59" s="46"/>
      <c r="I59" s="33">
        <v>680</v>
      </c>
      <c r="J59" s="34">
        <f>+F59*I59</f>
        <v>4080</v>
      </c>
    </row>
    <row r="60" spans="1:12" x14ac:dyDescent="0.25">
      <c r="A60" s="47" t="s">
        <v>85</v>
      </c>
      <c r="B60" s="48"/>
      <c r="C60" s="31"/>
      <c r="D60" s="25"/>
      <c r="E60" s="25"/>
      <c r="F60" s="32">
        <v>2</v>
      </c>
      <c r="G60" s="46"/>
      <c r="H60" s="46"/>
      <c r="I60" s="33">
        <v>6850</v>
      </c>
      <c r="J60" s="34">
        <f>+F60*I60</f>
        <v>13700</v>
      </c>
    </row>
    <row r="61" spans="1:12" x14ac:dyDescent="0.25">
      <c r="A61" s="47" t="s">
        <v>86</v>
      </c>
      <c r="B61" s="48"/>
      <c r="C61" s="31"/>
      <c r="D61" s="25"/>
      <c r="E61" s="25"/>
      <c r="F61" s="32">
        <v>2</v>
      </c>
      <c r="G61" s="46"/>
      <c r="H61" s="46"/>
      <c r="I61" s="33">
        <v>4000</v>
      </c>
      <c r="J61" s="34">
        <f>+F61*I61</f>
        <v>8000</v>
      </c>
    </row>
    <row r="62" spans="1:12" x14ac:dyDescent="0.25">
      <c r="A62" s="47" t="s">
        <v>92</v>
      </c>
      <c r="B62" s="48"/>
      <c r="C62" s="31"/>
      <c r="D62" s="25"/>
      <c r="E62" s="25"/>
      <c r="F62" s="32">
        <v>8</v>
      </c>
      <c r="G62" s="46"/>
      <c r="H62" s="46"/>
      <c r="I62" s="33">
        <v>4180</v>
      </c>
      <c r="J62" s="34">
        <f>+F62*I62</f>
        <v>33440</v>
      </c>
    </row>
    <row r="63" spans="1:12" x14ac:dyDescent="0.25">
      <c r="A63" s="47" t="s">
        <v>95</v>
      </c>
      <c r="B63" s="48"/>
      <c r="C63" s="31"/>
      <c r="D63" s="25"/>
      <c r="E63" s="25"/>
      <c r="F63" s="32">
        <v>8</v>
      </c>
      <c r="G63" s="46"/>
      <c r="H63" s="46"/>
      <c r="I63" s="33">
        <v>4180</v>
      </c>
      <c r="J63" s="34">
        <f>+F63*I63</f>
        <v>33440</v>
      </c>
    </row>
    <row r="64" spans="1:12" x14ac:dyDescent="0.25">
      <c r="A64" s="47" t="s">
        <v>91</v>
      </c>
      <c r="B64" s="48"/>
      <c r="C64" s="31"/>
      <c r="D64" s="25"/>
      <c r="E64" s="25"/>
      <c r="F64" s="32">
        <v>2</v>
      </c>
      <c r="G64" s="46"/>
      <c r="H64" s="46"/>
      <c r="I64" s="33">
        <v>500</v>
      </c>
      <c r="J64" s="34">
        <f>+F64*I64</f>
        <v>1000</v>
      </c>
    </row>
    <row r="65" spans="1:12" x14ac:dyDescent="0.25">
      <c r="A65" s="42" t="s">
        <v>96</v>
      </c>
      <c r="B65" s="154"/>
      <c r="C65" s="154"/>
      <c r="D65" s="155"/>
      <c r="E65" s="155"/>
      <c r="F65" s="156">
        <v>2</v>
      </c>
      <c r="G65" s="157"/>
      <c r="H65" s="157"/>
      <c r="I65" s="158">
        <v>1000</v>
      </c>
      <c r="J65" s="136">
        <f>+F65*I65</f>
        <v>2000</v>
      </c>
    </row>
    <row r="66" spans="1:12" x14ac:dyDescent="0.25">
      <c r="A66" s="42" t="s">
        <v>97</v>
      </c>
      <c r="B66" s="154"/>
      <c r="C66" s="154"/>
      <c r="D66" s="155"/>
      <c r="E66" s="155"/>
      <c r="F66" s="156">
        <v>2</v>
      </c>
      <c r="G66" s="157"/>
      <c r="H66" s="157"/>
      <c r="I66" s="158">
        <v>300</v>
      </c>
      <c r="J66" s="136">
        <f>+F66*I66</f>
        <v>600</v>
      </c>
    </row>
    <row r="67" spans="1:12" x14ac:dyDescent="0.25">
      <c r="A67" s="16" t="s">
        <v>28</v>
      </c>
      <c r="B67" s="17"/>
      <c r="C67" s="18"/>
      <c r="D67" s="19"/>
      <c r="E67" s="19"/>
      <c r="F67" s="20"/>
      <c r="G67" s="21"/>
      <c r="H67" s="21"/>
      <c r="I67" s="22"/>
      <c r="J67" s="23">
        <f>SUM(J68:J72)</f>
        <v>10580</v>
      </c>
    </row>
    <row r="68" spans="1:12" x14ac:dyDescent="0.25">
      <c r="A68" s="47" t="s">
        <v>87</v>
      </c>
      <c r="B68" s="48"/>
      <c r="C68" s="31"/>
      <c r="D68" s="63"/>
      <c r="E68" s="63"/>
      <c r="F68" s="32">
        <v>16</v>
      </c>
      <c r="G68" s="46">
        <v>1</v>
      </c>
      <c r="H68" s="33"/>
      <c r="I68" s="33">
        <v>450</v>
      </c>
      <c r="J68" s="54">
        <f>+F68*I68</f>
        <v>7200</v>
      </c>
    </row>
    <row r="69" spans="1:12" x14ac:dyDescent="0.25">
      <c r="A69" s="47" t="s">
        <v>88</v>
      </c>
      <c r="B69" s="48"/>
      <c r="C69" s="31"/>
      <c r="D69" s="63"/>
      <c r="E69" s="63"/>
      <c r="F69" s="32">
        <v>6</v>
      </c>
      <c r="G69" s="46">
        <v>1</v>
      </c>
      <c r="H69" s="33"/>
      <c r="I69" s="33">
        <v>250</v>
      </c>
      <c r="J69" s="54">
        <f>+F69*I69</f>
        <v>1500</v>
      </c>
    </row>
    <row r="70" spans="1:12" x14ac:dyDescent="0.25">
      <c r="A70" s="49" t="s">
        <v>90</v>
      </c>
      <c r="B70" s="50"/>
      <c r="C70" s="51"/>
      <c r="D70" s="64"/>
      <c r="E70" s="65"/>
      <c r="F70" s="52">
        <v>22</v>
      </c>
      <c r="G70" s="28">
        <v>1</v>
      </c>
      <c r="H70" s="53"/>
      <c r="I70" s="33">
        <v>30</v>
      </c>
      <c r="J70" s="54">
        <f>+F70*I70</f>
        <v>660</v>
      </c>
    </row>
    <row r="71" spans="1:12" x14ac:dyDescent="0.25">
      <c r="A71" s="42" t="s">
        <v>105</v>
      </c>
      <c r="B71" s="154"/>
      <c r="C71" s="154"/>
      <c r="D71" s="155"/>
      <c r="E71" s="65"/>
      <c r="F71" s="156"/>
      <c r="G71" s="157">
        <v>1</v>
      </c>
      <c r="H71" s="158"/>
      <c r="I71" s="158">
        <v>500</v>
      </c>
      <c r="J71" s="136">
        <f>+G71*I71</f>
        <v>500</v>
      </c>
    </row>
    <row r="72" spans="1:12" x14ac:dyDescent="0.25">
      <c r="A72" s="42" t="s">
        <v>106</v>
      </c>
      <c r="B72" s="154"/>
      <c r="C72" s="154"/>
      <c r="D72" s="155"/>
      <c r="E72" s="65"/>
      <c r="F72" s="156">
        <v>2</v>
      </c>
      <c r="G72" s="157">
        <v>12</v>
      </c>
      <c r="H72" s="158"/>
      <c r="I72" s="158">
        <v>30</v>
      </c>
      <c r="J72" s="136">
        <f>+F72*G72*I72</f>
        <v>720</v>
      </c>
    </row>
    <row r="73" spans="1:12" x14ac:dyDescent="0.25">
      <c r="A73" s="16" t="s">
        <v>65</v>
      </c>
      <c r="B73" s="17"/>
      <c r="C73" s="18"/>
      <c r="D73" s="19"/>
      <c r="E73" s="19"/>
      <c r="F73" s="20"/>
      <c r="G73" s="21"/>
      <c r="H73" s="21"/>
      <c r="I73" s="22"/>
      <c r="J73" s="23">
        <f>SUM(J74:J75)</f>
        <v>13200</v>
      </c>
    </row>
    <row r="74" spans="1:12" x14ac:dyDescent="0.25">
      <c r="A74" s="47" t="s">
        <v>89</v>
      </c>
      <c r="B74" s="48"/>
      <c r="C74" s="31"/>
      <c r="D74" s="63"/>
      <c r="E74" s="63"/>
      <c r="F74" s="32">
        <v>2</v>
      </c>
      <c r="G74" s="46">
        <v>12</v>
      </c>
      <c r="H74" s="33"/>
      <c r="I74" s="33">
        <v>550</v>
      </c>
      <c r="J74" s="54">
        <f>+F74*G74*I74</f>
        <v>13200</v>
      </c>
    </row>
    <row r="75" spans="1:12" x14ac:dyDescent="0.25">
      <c r="A75" s="47"/>
      <c r="B75" s="48"/>
      <c r="C75" s="31"/>
      <c r="D75" s="63"/>
      <c r="E75" s="63"/>
      <c r="F75" s="52"/>
      <c r="G75" s="28"/>
      <c r="H75" s="33"/>
      <c r="I75" s="33"/>
      <c r="J75" s="54"/>
    </row>
    <row r="76" spans="1:12" x14ac:dyDescent="0.25">
      <c r="A76" s="35" t="s">
        <v>29</v>
      </c>
      <c r="B76" s="36"/>
      <c r="C76" s="37"/>
      <c r="D76" s="37"/>
      <c r="E76" s="36"/>
      <c r="F76" s="38"/>
      <c r="G76" s="36"/>
      <c r="H76" s="36"/>
      <c r="I76" s="36"/>
      <c r="J76" s="39">
        <f>J77</f>
        <v>1125000</v>
      </c>
      <c r="L76" s="159"/>
    </row>
    <row r="77" spans="1:12" x14ac:dyDescent="0.25">
      <c r="A77" s="55" t="s">
        <v>30</v>
      </c>
      <c r="B77" s="56"/>
      <c r="C77" s="57"/>
      <c r="D77" s="58"/>
      <c r="E77" s="58"/>
      <c r="F77" s="59"/>
      <c r="G77" s="60"/>
      <c r="H77" s="60"/>
      <c r="I77" s="61"/>
      <c r="J77" s="62">
        <f>SUM(J78:J82)</f>
        <v>1125000</v>
      </c>
    </row>
    <row r="78" spans="1:12" x14ac:dyDescent="0.25">
      <c r="A78" s="47" t="s">
        <v>80</v>
      </c>
      <c r="B78" s="48"/>
      <c r="C78" s="31"/>
      <c r="D78" s="25"/>
      <c r="E78" s="25"/>
      <c r="F78" s="32">
        <v>60</v>
      </c>
      <c r="G78" s="46">
        <v>12</v>
      </c>
      <c r="H78" s="33"/>
      <c r="I78" s="53">
        <v>475</v>
      </c>
      <c r="J78" s="34">
        <f>+F78*G78*I78</f>
        <v>342000</v>
      </c>
    </row>
    <row r="79" spans="1:12" x14ac:dyDescent="0.25">
      <c r="A79" s="47" t="s">
        <v>81</v>
      </c>
      <c r="B79" s="48"/>
      <c r="C79" s="31"/>
      <c r="D79" s="25"/>
      <c r="E79" s="25"/>
      <c r="F79" s="32">
        <v>60</v>
      </c>
      <c r="G79" s="46">
        <v>12</v>
      </c>
      <c r="H79" s="33"/>
      <c r="I79" s="53">
        <v>475</v>
      </c>
      <c r="J79" s="34">
        <f>+F79*G79*I79</f>
        <v>342000</v>
      </c>
    </row>
    <row r="80" spans="1:12" x14ac:dyDescent="0.25">
      <c r="A80" s="42" t="s">
        <v>82</v>
      </c>
      <c r="B80" s="43"/>
      <c r="C80" s="43"/>
      <c r="D80" s="132"/>
      <c r="E80" s="132"/>
      <c r="F80" s="133">
        <v>20</v>
      </c>
      <c r="G80" s="134">
        <v>12</v>
      </c>
      <c r="H80" s="135"/>
      <c r="I80" s="135">
        <v>300</v>
      </c>
      <c r="J80" s="136">
        <f>+F80*G80*I80*6</f>
        <v>432000</v>
      </c>
    </row>
    <row r="81" spans="1:12" x14ac:dyDescent="0.25">
      <c r="A81" s="42" t="s">
        <v>102</v>
      </c>
      <c r="B81" s="43"/>
      <c r="C81" s="43"/>
      <c r="D81" s="132"/>
      <c r="E81" s="132"/>
      <c r="F81" s="133">
        <v>6</v>
      </c>
      <c r="G81" s="134"/>
      <c r="H81" s="135"/>
      <c r="I81" s="135">
        <v>700</v>
      </c>
      <c r="J81" s="136">
        <v>4200</v>
      </c>
    </row>
    <row r="82" spans="1:12" x14ac:dyDescent="0.25">
      <c r="A82" s="42" t="s">
        <v>118</v>
      </c>
      <c r="B82" s="43"/>
      <c r="C82" s="43"/>
      <c r="D82" s="132"/>
      <c r="E82" s="132"/>
      <c r="F82" s="133"/>
      <c r="G82" s="134"/>
      <c r="H82" s="135"/>
      <c r="I82" s="135"/>
      <c r="J82" s="136">
        <v>4800</v>
      </c>
    </row>
    <row r="83" spans="1:12" x14ac:dyDescent="0.25">
      <c r="A83" s="35" t="s">
        <v>121</v>
      </c>
      <c r="B83" s="36"/>
      <c r="C83" s="37"/>
      <c r="D83" s="37"/>
      <c r="E83" s="36"/>
      <c r="F83" s="38"/>
      <c r="G83" s="36"/>
      <c r="H83" s="36"/>
      <c r="I83" s="36"/>
      <c r="J83" s="39">
        <f>J84+J92</f>
        <v>199060</v>
      </c>
    </row>
    <row r="84" spans="1:12" x14ac:dyDescent="0.25">
      <c r="A84" s="55" t="s">
        <v>31</v>
      </c>
      <c r="B84" s="56"/>
      <c r="C84" s="57"/>
      <c r="D84" s="58"/>
      <c r="E84" s="58"/>
      <c r="F84" s="59"/>
      <c r="G84" s="60"/>
      <c r="H84" s="60"/>
      <c r="I84" s="61"/>
      <c r="J84" s="62">
        <f>SUM(J85:J91)</f>
        <v>0</v>
      </c>
      <c r="L84" s="160"/>
    </row>
    <row r="85" spans="1:12" ht="18" customHeight="1" x14ac:dyDescent="0.25">
      <c r="A85" s="47" t="s">
        <v>32</v>
      </c>
      <c r="B85" s="48"/>
      <c r="C85" s="31"/>
      <c r="D85" s="25"/>
      <c r="E85" s="25"/>
      <c r="F85" s="32"/>
      <c r="G85" s="46"/>
      <c r="H85" s="46"/>
      <c r="I85" s="53"/>
      <c r="J85" s="169">
        <v>0</v>
      </c>
      <c r="K85" s="180" t="s">
        <v>122</v>
      </c>
      <c r="L85" s="176"/>
    </row>
    <row r="86" spans="1:12" x14ac:dyDescent="0.25">
      <c r="A86" s="47" t="s">
        <v>33</v>
      </c>
      <c r="B86" s="48"/>
      <c r="C86" s="31"/>
      <c r="D86" s="25"/>
      <c r="E86" s="25"/>
      <c r="F86" s="32"/>
      <c r="G86" s="46"/>
      <c r="H86" s="46"/>
      <c r="I86" s="53"/>
      <c r="J86" s="169">
        <v>0</v>
      </c>
      <c r="K86" s="173"/>
      <c r="L86" s="176"/>
    </row>
    <row r="87" spans="1:12" x14ac:dyDescent="0.25">
      <c r="A87" s="47" t="s">
        <v>34</v>
      </c>
      <c r="B87" s="48"/>
      <c r="C87" s="31"/>
      <c r="D87" s="25"/>
      <c r="E87" s="25"/>
      <c r="F87" s="32"/>
      <c r="G87" s="46"/>
      <c r="H87" s="46"/>
      <c r="I87" s="53"/>
      <c r="J87" s="169">
        <v>0</v>
      </c>
      <c r="K87" s="173"/>
      <c r="L87" s="176"/>
    </row>
    <row r="88" spans="1:12" x14ac:dyDescent="0.25">
      <c r="A88" s="47" t="s">
        <v>35</v>
      </c>
      <c r="B88" s="48"/>
      <c r="C88" s="31"/>
      <c r="D88" s="25"/>
      <c r="E88" s="25"/>
      <c r="F88" s="32"/>
      <c r="G88" s="46"/>
      <c r="H88" s="46"/>
      <c r="I88" s="53"/>
      <c r="J88" s="169">
        <v>0</v>
      </c>
      <c r="K88" s="173"/>
      <c r="L88" s="176"/>
    </row>
    <row r="89" spans="1:12" x14ac:dyDescent="0.25">
      <c r="A89" s="47" t="s">
        <v>36</v>
      </c>
      <c r="B89" s="48"/>
      <c r="C89" s="31"/>
      <c r="D89" s="25"/>
      <c r="E89" s="25"/>
      <c r="F89" s="32"/>
      <c r="G89" s="46"/>
      <c r="H89" s="46"/>
      <c r="I89" s="53"/>
      <c r="J89" s="169">
        <v>0</v>
      </c>
      <c r="K89" s="173"/>
      <c r="L89" s="176"/>
    </row>
    <row r="90" spans="1:12" x14ac:dyDescent="0.25">
      <c r="A90" s="47" t="s">
        <v>37</v>
      </c>
      <c r="B90" s="48"/>
      <c r="C90" s="31"/>
      <c r="D90" s="25"/>
      <c r="E90" s="25"/>
      <c r="F90" s="32"/>
      <c r="G90" s="46"/>
      <c r="H90" s="46"/>
      <c r="I90" s="53"/>
      <c r="J90" s="169">
        <v>0</v>
      </c>
      <c r="K90" s="173"/>
      <c r="L90" s="176"/>
    </row>
    <row r="91" spans="1:12" x14ac:dyDescent="0.25">
      <c r="A91" s="49"/>
      <c r="B91" s="50"/>
      <c r="C91" s="51"/>
      <c r="D91" s="161"/>
      <c r="E91" s="161"/>
      <c r="F91" s="52"/>
      <c r="G91" s="28"/>
      <c r="H91" s="28"/>
      <c r="I91" s="53"/>
      <c r="J91" s="169">
        <v>0</v>
      </c>
      <c r="K91" s="173"/>
      <c r="L91" s="176"/>
    </row>
    <row r="92" spans="1:12" x14ac:dyDescent="0.25">
      <c r="A92" s="16" t="s">
        <v>38</v>
      </c>
      <c r="B92" s="17"/>
      <c r="C92" s="18"/>
      <c r="D92" s="19"/>
      <c r="E92" s="19"/>
      <c r="F92" s="20"/>
      <c r="G92" s="21"/>
      <c r="H92" s="21"/>
      <c r="I92" s="22"/>
      <c r="J92" s="23">
        <f>SUM(J93:J96)</f>
        <v>199060</v>
      </c>
      <c r="K92" s="175"/>
      <c r="L92" s="177"/>
    </row>
    <row r="93" spans="1:12" x14ac:dyDescent="0.25">
      <c r="A93" s="47" t="s">
        <v>101</v>
      </c>
      <c r="B93" s="48"/>
      <c r="C93" s="31"/>
      <c r="D93" s="25"/>
      <c r="E93" s="25"/>
      <c r="F93" s="32">
        <v>1</v>
      </c>
      <c r="G93" s="46">
        <v>12</v>
      </c>
      <c r="H93" s="46"/>
      <c r="I93" s="53">
        <f>+J93/G93</f>
        <v>13671.666666666666</v>
      </c>
      <c r="J93" s="34">
        <v>164060</v>
      </c>
      <c r="K93" s="178"/>
      <c r="L93" s="179"/>
    </row>
    <row r="94" spans="1:12" x14ac:dyDescent="0.25">
      <c r="A94" s="47" t="s">
        <v>103</v>
      </c>
      <c r="B94" s="48"/>
      <c r="C94" s="31"/>
      <c r="D94" s="25"/>
      <c r="E94" s="25"/>
      <c r="F94" s="32">
        <v>2</v>
      </c>
      <c r="G94" s="46"/>
      <c r="H94" s="46"/>
      <c r="I94" s="53">
        <v>8000</v>
      </c>
      <c r="J94" s="34">
        <v>16000</v>
      </c>
      <c r="K94" s="178"/>
      <c r="L94" s="179"/>
    </row>
    <row r="95" spans="1:12" x14ac:dyDescent="0.25">
      <c r="A95" s="47" t="s">
        <v>123</v>
      </c>
      <c r="B95" s="48"/>
      <c r="C95" s="31"/>
      <c r="D95" s="25"/>
      <c r="E95" s="25"/>
      <c r="F95" s="32"/>
      <c r="G95" s="46"/>
      <c r="H95" s="46"/>
      <c r="I95" s="53"/>
      <c r="J95" s="34">
        <v>19000</v>
      </c>
    </row>
    <row r="96" spans="1:12" x14ac:dyDescent="0.25">
      <c r="A96" s="47"/>
      <c r="B96" s="48"/>
      <c r="C96" s="31"/>
      <c r="D96" s="25"/>
      <c r="E96" s="25"/>
      <c r="F96" s="32"/>
      <c r="G96" s="46"/>
      <c r="H96" s="46"/>
      <c r="I96" s="53"/>
      <c r="J96" s="34"/>
    </row>
    <row r="97" spans="1:12" x14ac:dyDescent="0.25">
      <c r="A97" s="35" t="s">
        <v>40</v>
      </c>
      <c r="B97" s="36"/>
      <c r="C97" s="37"/>
      <c r="D97" s="37"/>
      <c r="E97" s="36"/>
      <c r="F97" s="38"/>
      <c r="G97" s="36"/>
      <c r="H97" s="36"/>
      <c r="I97" s="36"/>
      <c r="J97" s="39">
        <f>J98+J100</f>
        <v>290400</v>
      </c>
    </row>
    <row r="98" spans="1:12" x14ac:dyDescent="0.25">
      <c r="A98" s="55" t="s">
        <v>41</v>
      </c>
      <c r="B98" s="56"/>
      <c r="C98" s="57"/>
      <c r="D98" s="58"/>
      <c r="E98" s="58"/>
      <c r="F98" s="59"/>
      <c r="G98" s="60"/>
      <c r="H98" s="60"/>
      <c r="I98" s="61"/>
      <c r="J98" s="62">
        <f>SUM(J99)</f>
        <v>0</v>
      </c>
    </row>
    <row r="99" spans="1:12" x14ac:dyDescent="0.25">
      <c r="A99" s="47"/>
      <c r="B99" s="48"/>
      <c r="C99" s="31"/>
      <c r="D99" s="25"/>
      <c r="E99" s="25"/>
      <c r="F99" s="32"/>
      <c r="G99" s="46"/>
      <c r="H99" s="46"/>
      <c r="I99" s="53"/>
      <c r="J99" s="172"/>
      <c r="K99" t="s">
        <v>130</v>
      </c>
    </row>
    <row r="100" spans="1:12" x14ac:dyDescent="0.25">
      <c r="A100" s="55" t="s">
        <v>42</v>
      </c>
      <c r="B100" s="56"/>
      <c r="C100" s="57"/>
      <c r="D100" s="58"/>
      <c r="E100" s="58"/>
      <c r="F100" s="59"/>
      <c r="G100" s="60"/>
      <c r="H100" s="60"/>
      <c r="I100" s="61"/>
      <c r="J100" s="62">
        <f>+J101</f>
        <v>290400</v>
      </c>
    </row>
    <row r="101" spans="1:12" ht="15.75" thickBot="1" x14ac:dyDescent="0.3">
      <c r="A101" s="47"/>
      <c r="B101" s="48"/>
      <c r="C101" s="31"/>
      <c r="D101" s="25"/>
      <c r="E101" s="25"/>
      <c r="F101" s="32"/>
      <c r="G101" s="46"/>
      <c r="H101" s="46"/>
      <c r="I101" s="53"/>
      <c r="J101" s="34">
        <v>290400</v>
      </c>
      <c r="K101" s="160"/>
    </row>
    <row r="102" spans="1:12" ht="15.75" thickBot="1" x14ac:dyDescent="0.3">
      <c r="A102" s="66" t="s">
        <v>120</v>
      </c>
      <c r="B102" s="67"/>
      <c r="C102" s="67"/>
      <c r="D102" s="68"/>
      <c r="E102" s="68"/>
      <c r="F102" s="68"/>
      <c r="G102" s="69"/>
      <c r="H102" s="69"/>
      <c r="I102" s="70"/>
      <c r="J102" s="71">
        <f>+J6+J23+J25+J37+J43+J56+J76+J83+J97</f>
        <v>3404041.2</v>
      </c>
      <c r="L102" s="159"/>
    </row>
    <row r="103" spans="1:12" ht="15.75" thickBot="1" x14ac:dyDescent="0.3">
      <c r="A103" s="72"/>
      <c r="B103" s="72"/>
      <c r="C103" s="72"/>
      <c r="D103" s="73"/>
      <c r="E103" s="73"/>
      <c r="F103" s="73"/>
      <c r="G103" s="74"/>
      <c r="H103" s="74"/>
      <c r="I103" s="75"/>
      <c r="J103" s="75"/>
    </row>
    <row r="104" spans="1:12" ht="15.75" thickBot="1" x14ac:dyDescent="0.3">
      <c r="A104" s="165"/>
      <c r="B104" s="76"/>
      <c r="C104" s="76"/>
      <c r="D104" s="77"/>
      <c r="E104" s="77"/>
      <c r="F104" s="78"/>
      <c r="G104" s="79"/>
      <c r="H104" s="80"/>
      <c r="I104" s="81"/>
      <c r="J104" s="82"/>
    </row>
    <row r="105" spans="1:12" ht="15.75" thickBot="1" x14ac:dyDescent="0.3">
      <c r="A105" s="76"/>
      <c r="B105" s="76"/>
      <c r="C105" s="76"/>
      <c r="D105" s="77"/>
      <c r="E105" s="77"/>
      <c r="F105" s="77"/>
      <c r="G105" s="83"/>
      <c r="H105" s="81"/>
      <c r="I105" s="81"/>
      <c r="J105" s="81"/>
    </row>
    <row r="106" spans="1:12" ht="16.5" x14ac:dyDescent="0.25">
      <c r="A106" s="84" t="s">
        <v>111</v>
      </c>
      <c r="B106" s="85"/>
      <c r="C106" s="85"/>
      <c r="D106" s="86"/>
      <c r="E106" s="86"/>
      <c r="F106" s="87"/>
      <c r="G106" s="88"/>
      <c r="H106" s="89" t="s">
        <v>39</v>
      </c>
      <c r="I106" s="81"/>
      <c r="J106" s="81"/>
    </row>
    <row r="107" spans="1:12" ht="16.5" x14ac:dyDescent="0.25">
      <c r="A107" s="90" t="str">
        <f>A6</f>
        <v>01 PROFESIONALES Y MANO DE OBRA INDIRECTA</v>
      </c>
      <c r="B107" s="91"/>
      <c r="C107" s="91"/>
      <c r="D107" s="92"/>
      <c r="E107" s="92"/>
      <c r="F107" s="93"/>
      <c r="G107" s="94"/>
      <c r="H107" s="192">
        <f>J6</f>
        <v>1165111.2</v>
      </c>
      <c r="I107" s="95"/>
      <c r="J107" s="95"/>
    </row>
    <row r="108" spans="1:12" ht="16.5" x14ac:dyDescent="0.25">
      <c r="A108" s="90" t="str">
        <f>A23</f>
        <v>02 TRASLADO DE PERSONAL</v>
      </c>
      <c r="B108" s="91"/>
      <c r="C108" s="91"/>
      <c r="D108" s="92"/>
      <c r="E108" s="92"/>
      <c r="F108" s="93"/>
      <c r="G108" s="94"/>
      <c r="H108" s="192">
        <f>J23</f>
        <v>39600</v>
      </c>
      <c r="I108" s="95"/>
      <c r="J108" s="95"/>
    </row>
    <row r="109" spans="1:12" ht="16.5" x14ac:dyDescent="0.25">
      <c r="A109" s="90" t="str">
        <f>A25</f>
        <v>03 IMPLEMENTOS DE SEGURIDAD y SALUD OCUPACIONAL (INCL. GASTOS COVID)</v>
      </c>
      <c r="B109" s="91"/>
      <c r="C109" s="91"/>
      <c r="D109" s="92"/>
      <c r="E109" s="92"/>
      <c r="F109" s="93"/>
      <c r="G109" s="94"/>
      <c r="H109" s="192">
        <f>J25</f>
        <v>42510</v>
      </c>
      <c r="I109" s="95"/>
      <c r="J109" s="95"/>
    </row>
    <row r="110" spans="1:12" ht="16.5" x14ac:dyDescent="0.25">
      <c r="A110" s="90" t="str">
        <f>A37</f>
        <v>04 ALIMENTACIÓN Y HOSPEDAJE</v>
      </c>
      <c r="B110" s="91"/>
      <c r="C110" s="91"/>
      <c r="D110" s="92"/>
      <c r="E110" s="92"/>
      <c r="F110" s="93"/>
      <c r="G110" s="94"/>
      <c r="H110" s="192">
        <f>J37</f>
        <v>289720</v>
      </c>
      <c r="I110" s="95"/>
      <c r="J110" s="95"/>
    </row>
    <row r="111" spans="1:12" ht="16.5" x14ac:dyDescent="0.25">
      <c r="A111" s="90" t="s">
        <v>25</v>
      </c>
      <c r="B111" s="91"/>
      <c r="C111" s="91"/>
      <c r="D111" s="92"/>
      <c r="E111" s="92"/>
      <c r="F111" s="93"/>
      <c r="G111" s="94"/>
      <c r="H111" s="192">
        <f>+J43</f>
        <v>128600</v>
      </c>
      <c r="I111" s="95"/>
      <c r="J111" s="95"/>
    </row>
    <row r="112" spans="1:12" ht="16.5" x14ac:dyDescent="0.25">
      <c r="A112" s="90" t="str">
        <f>A56</f>
        <v>06 EQUIPAMIENTO, INFORMÁTICA Y COMUNICACIONES</v>
      </c>
      <c r="B112" s="91"/>
      <c r="C112" s="91"/>
      <c r="D112" s="92"/>
      <c r="E112" s="92"/>
      <c r="F112" s="93"/>
      <c r="G112" s="94"/>
      <c r="H112" s="192">
        <f>J56</f>
        <v>124040</v>
      </c>
      <c r="I112" s="95"/>
      <c r="J112" s="95"/>
    </row>
    <row r="113" spans="1:10" ht="16.5" x14ac:dyDescent="0.25">
      <c r="A113" s="90" t="str">
        <f>A76</f>
        <v>07 MAQUINARIAS, EQUIPOS Y VEHÍCULOS INDIRECTOS</v>
      </c>
      <c r="B113" s="91"/>
      <c r="C113" s="91"/>
      <c r="D113" s="92"/>
      <c r="E113" s="92"/>
      <c r="F113" s="93"/>
      <c r="G113" s="94"/>
      <c r="H113" s="192">
        <f>J76</f>
        <v>1125000</v>
      </c>
      <c r="I113" s="95"/>
      <c r="J113" s="95"/>
    </row>
    <row r="114" spans="1:10" ht="16.5" x14ac:dyDescent="0.25">
      <c r="A114" s="90" t="str">
        <f>A83</f>
        <v>08 PROGRAMAS DE PLAN DE BUENA VECINDAD Y RELACIONES PUBLICAS *</v>
      </c>
      <c r="B114" s="91"/>
      <c r="C114" s="91"/>
      <c r="D114" s="92"/>
      <c r="E114" s="92"/>
      <c r="F114" s="93"/>
      <c r="G114" s="94"/>
      <c r="H114" s="192">
        <f>J83</f>
        <v>199060</v>
      </c>
      <c r="I114" s="95"/>
      <c r="J114" s="95"/>
    </row>
    <row r="115" spans="1:10" ht="16.5" x14ac:dyDescent="0.25">
      <c r="A115" s="96" t="s">
        <v>40</v>
      </c>
      <c r="B115" s="97"/>
      <c r="C115" s="97"/>
      <c r="D115" s="98"/>
      <c r="E115" s="98"/>
      <c r="F115" s="99"/>
      <c r="G115" s="100"/>
      <c r="H115" s="193">
        <f>+J97</f>
        <v>290400</v>
      </c>
      <c r="I115" s="95"/>
      <c r="J115" s="95"/>
    </row>
    <row r="116" spans="1:10" ht="15.75" thickBot="1" x14ac:dyDescent="0.3">
      <c r="A116" s="101" t="s">
        <v>116</v>
      </c>
      <c r="B116" s="102"/>
      <c r="C116" s="102"/>
      <c r="D116" s="103"/>
      <c r="E116" s="103"/>
      <c r="F116" s="104"/>
      <c r="G116" s="105"/>
      <c r="H116" s="194">
        <f>SUM(H107:H115)</f>
        <v>3404041.2</v>
      </c>
      <c r="I116" s="95"/>
      <c r="J116" s="95"/>
    </row>
    <row r="117" spans="1:10" x14ac:dyDescent="0.25">
      <c r="A117" t="s">
        <v>112</v>
      </c>
      <c r="F117" s="197">
        <f>+H117/H116</f>
        <v>0.16067373097599405</v>
      </c>
      <c r="H117" s="195">
        <f>508540+38400</f>
        <v>546940</v>
      </c>
      <c r="I117" s="160"/>
    </row>
    <row r="118" spans="1:10" x14ac:dyDescent="0.25">
      <c r="A118" t="s">
        <v>113</v>
      </c>
      <c r="F118" s="168">
        <v>0.19600000000000001</v>
      </c>
      <c r="H118" s="195">
        <f>+F118*H116</f>
        <v>667192.07520000008</v>
      </c>
    </row>
    <row r="119" spans="1:10" ht="15.75" thickBot="1" x14ac:dyDescent="0.3">
      <c r="A119" s="101" t="s">
        <v>114</v>
      </c>
      <c r="B119" s="102"/>
      <c r="C119" s="102"/>
      <c r="D119" s="103"/>
      <c r="E119" s="103"/>
      <c r="F119" s="104"/>
      <c r="G119" s="167"/>
      <c r="H119" s="196">
        <f>+H116+H117+H118</f>
        <v>4618173.2752</v>
      </c>
      <c r="I119" s="166"/>
      <c r="J119" s="160"/>
    </row>
    <row r="120" spans="1:10" x14ac:dyDescent="0.25">
      <c r="A120" t="s">
        <v>115</v>
      </c>
      <c r="H120" s="195">
        <f>+H119*0.18</f>
        <v>831271.18953600002</v>
      </c>
    </row>
    <row r="121" spans="1:10" ht="15.75" thickBot="1" x14ac:dyDescent="0.3">
      <c r="A121" s="101" t="s">
        <v>117</v>
      </c>
      <c r="B121" s="102"/>
      <c r="C121" s="102"/>
      <c r="D121" s="103"/>
      <c r="E121" s="103"/>
      <c r="F121" s="104"/>
      <c r="G121" s="167"/>
      <c r="H121" s="196">
        <f>+H119+H120</f>
        <v>5449444.4647359997</v>
      </c>
    </row>
  </sheetData>
  <mergeCells count="11">
    <mergeCell ref="K93:K94"/>
    <mergeCell ref="K85:K91"/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8:B91">
    <cfRule type="expression" dxfId="33" priority="3">
      <formula>A8="Requerido"</formula>
    </cfRule>
  </conditionalFormatting>
  <conditionalFormatting sqref="A93:B96">
    <cfRule type="expression" dxfId="32" priority="19">
      <formula>A93="Requerido"</formula>
    </cfRule>
  </conditionalFormatting>
  <conditionalFormatting sqref="A99:B99">
    <cfRule type="expression" dxfId="31" priority="33">
      <formula>A99="Requerido"</formula>
    </cfRule>
  </conditionalFormatting>
  <conditionalFormatting sqref="A101:B101">
    <cfRule type="expression" dxfId="30" priority="29">
      <formula>A101="Requerido"</formula>
    </cfRule>
  </conditionalFormatting>
  <conditionalFormatting sqref="D24 D8:E22 D38:D42 D48:D49 D60:E63 D74:D75">
    <cfRule type="expression" dxfId="29" priority="135">
      <formula>A8="Requerido"</formula>
    </cfRule>
  </conditionalFormatting>
  <conditionalFormatting sqref="D27 D85:E85">
    <cfRule type="expression" dxfId="28" priority="116">
      <formula>A27="Requerido"</formula>
    </cfRule>
  </conditionalFormatting>
  <conditionalFormatting sqref="D29:D31">
    <cfRule type="expression" dxfId="27" priority="103">
      <formula>A29="Requerido"</formula>
    </cfRule>
  </conditionalFormatting>
  <conditionalFormatting sqref="D33:D36">
    <cfRule type="expression" dxfId="26" priority="2">
      <formula>A33="Requerido"</formula>
    </cfRule>
  </conditionalFormatting>
  <conditionalFormatting sqref="D45:D49 E38:E42 E45:E52 E74:E75">
    <cfRule type="expression" dxfId="25" priority="8">
      <formula>XFD38="Requerido"</formula>
    </cfRule>
  </conditionalFormatting>
  <conditionalFormatting sqref="D50:D52">
    <cfRule type="expression" dxfId="24" priority="82">
      <formula>A50="Requerido"</formula>
    </cfRule>
  </conditionalFormatting>
  <conditionalFormatting sqref="D54:D55">
    <cfRule type="expression" dxfId="23" priority="78">
      <formula>A54="Requerido"</formula>
    </cfRule>
  </conditionalFormatting>
  <conditionalFormatting sqref="D58:D59">
    <cfRule type="expression" dxfId="22" priority="15">
      <formula>A58="Requerido"</formula>
    </cfRule>
  </conditionalFormatting>
  <conditionalFormatting sqref="D64:D66">
    <cfRule type="expression" dxfId="21" priority="65">
      <formula>A64="Requerido"</formula>
    </cfRule>
  </conditionalFormatting>
  <conditionalFormatting sqref="D68:D72">
    <cfRule type="expression" dxfId="20" priority="75">
      <formula>A68="Requerido"</formula>
    </cfRule>
  </conditionalFormatting>
  <conditionalFormatting sqref="D79:D82">
    <cfRule type="expression" dxfId="19" priority="107">
      <formula>A79="Requerido"</formula>
    </cfRule>
  </conditionalFormatting>
  <conditionalFormatting sqref="D86:D91">
    <cfRule type="expression" dxfId="18" priority="39">
      <formula>A86="Requerido"</formula>
    </cfRule>
  </conditionalFormatting>
  <conditionalFormatting sqref="D93:D96">
    <cfRule type="expression" dxfId="17" priority="22">
      <formula>A93="Requerido"</formula>
    </cfRule>
  </conditionalFormatting>
  <conditionalFormatting sqref="D99">
    <cfRule type="expression" dxfId="16" priority="32">
      <formula>A99="Requerido"</formula>
    </cfRule>
  </conditionalFormatting>
  <conditionalFormatting sqref="D101">
    <cfRule type="expression" dxfId="15" priority="28">
      <formula>A101="Requerido"</formula>
    </cfRule>
  </conditionalFormatting>
  <conditionalFormatting sqref="D78:E78">
    <cfRule type="expression" dxfId="14" priority="5">
      <formula>A78="Requerido"</formula>
    </cfRule>
  </conditionalFormatting>
  <conditionalFormatting sqref="E24">
    <cfRule type="expression" dxfId="13" priority="133">
      <formula>A24="Requerido"</formula>
    </cfRule>
  </conditionalFormatting>
  <conditionalFormatting sqref="E27 E95:E96">
    <cfRule type="expression" dxfId="12" priority="136">
      <formula>A27="Requerido"</formula>
    </cfRule>
  </conditionalFormatting>
  <conditionalFormatting sqref="E29:E31">
    <cfRule type="expression" dxfId="11" priority="102">
      <formula>A29="Requerido"</formula>
    </cfRule>
  </conditionalFormatting>
  <conditionalFormatting sqref="E33:E36">
    <cfRule type="expression" dxfId="10" priority="1">
      <formula>A33="Requerido"</formula>
    </cfRule>
  </conditionalFormatting>
  <conditionalFormatting sqref="E54:E55">
    <cfRule type="expression" dxfId="9" priority="76">
      <formula>A54="Requerido"</formula>
    </cfRule>
  </conditionalFormatting>
  <conditionalFormatting sqref="E58:E59">
    <cfRule type="expression" dxfId="8" priority="14">
      <formula>A58="Requerido"</formula>
    </cfRule>
  </conditionalFormatting>
  <conditionalFormatting sqref="E64:E66">
    <cfRule type="expression" dxfId="7" priority="64">
      <formula>A64="Requerido"</formula>
    </cfRule>
  </conditionalFormatting>
  <conditionalFormatting sqref="E68:E69">
    <cfRule type="expression" dxfId="6" priority="73">
      <formula>A68="Requerido"</formula>
    </cfRule>
  </conditionalFormatting>
  <conditionalFormatting sqref="E79:E82">
    <cfRule type="expression" dxfId="5" priority="106">
      <formula>A79="Requerido"</formula>
    </cfRule>
  </conditionalFormatting>
  <conditionalFormatting sqref="E86:E91">
    <cfRule type="expression" dxfId="4" priority="38">
      <formula>A86="Requerido"</formula>
    </cfRule>
  </conditionalFormatting>
  <conditionalFormatting sqref="E93">
    <cfRule type="expression" dxfId="3" priority="21">
      <formula>A93="Requerido"</formula>
    </cfRule>
  </conditionalFormatting>
  <conditionalFormatting sqref="E94">
    <cfRule type="expression" dxfId="2" priority="36">
      <formula>C94="Requerido"</formula>
    </cfRule>
  </conditionalFormatting>
  <conditionalFormatting sqref="E99">
    <cfRule type="expression" dxfId="1" priority="31">
      <formula>A99="Requerido"</formula>
    </cfRule>
  </conditionalFormatting>
  <conditionalFormatting sqref="E101">
    <cfRule type="expression" dxfId="0" priority="27">
      <formula>A101="Requerido"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CD7B-00D0-45CB-9347-D28AFAD50CEB}">
  <dimension ref="A1:I38"/>
  <sheetViews>
    <sheetView topLeftCell="B5" zoomScale="130" zoomScaleNormal="172" workbookViewId="0">
      <selection activeCell="G35" sqref="G35"/>
    </sheetView>
  </sheetViews>
  <sheetFormatPr baseColWidth="10" defaultRowHeight="15" x14ac:dyDescent="0.25"/>
  <cols>
    <col min="2" max="2" width="55.28515625" customWidth="1"/>
    <col min="7" max="7" width="16.7109375" bestFit="1" customWidth="1"/>
    <col min="8" max="8" width="21.140625" bestFit="1" customWidth="1"/>
    <col min="9" max="9" width="15.85546875" customWidth="1"/>
  </cols>
  <sheetData>
    <row r="1" spans="1:9" x14ac:dyDescent="0.25">
      <c r="A1" s="143" t="s">
        <v>52</v>
      </c>
      <c r="B1" s="144"/>
      <c r="C1" s="144"/>
      <c r="D1" s="144"/>
      <c r="E1" s="144"/>
      <c r="F1" s="144"/>
      <c r="G1" s="145"/>
    </row>
    <row r="2" spans="1:9" x14ac:dyDescent="0.25">
      <c r="A2" s="146" t="s">
        <v>0</v>
      </c>
      <c r="B2" s="146"/>
      <c r="C2" s="146" t="s">
        <v>4</v>
      </c>
      <c r="D2" s="112" t="s">
        <v>43</v>
      </c>
      <c r="E2" s="112" t="s">
        <v>44</v>
      </c>
      <c r="F2" s="146" t="s">
        <v>45</v>
      </c>
      <c r="G2" s="146" t="s">
        <v>46</v>
      </c>
    </row>
    <row r="3" spans="1:9" x14ac:dyDescent="0.25">
      <c r="A3" s="146"/>
      <c r="B3" s="146"/>
      <c r="C3" s="146"/>
      <c r="D3" s="112" t="s">
        <v>47</v>
      </c>
      <c r="E3" s="112" t="s">
        <v>48</v>
      </c>
      <c r="F3" s="146"/>
      <c r="G3" s="146"/>
    </row>
    <row r="4" spans="1:9" x14ac:dyDescent="0.25">
      <c r="A4" s="112"/>
      <c r="B4" s="112" t="s">
        <v>125</v>
      </c>
      <c r="C4" s="112"/>
      <c r="D4" s="112"/>
      <c r="E4" s="182">
        <v>0.69</v>
      </c>
      <c r="F4" s="112"/>
      <c r="G4" s="185">
        <f>+G5+G7+G9+G11+G13+G15+G17+G19</f>
        <v>1593491.2559999998</v>
      </c>
      <c r="H4" s="160"/>
    </row>
    <row r="5" spans="1:9" x14ac:dyDescent="0.25">
      <c r="A5" s="113">
        <v>1</v>
      </c>
      <c r="B5" s="114" t="s">
        <v>32</v>
      </c>
      <c r="C5" s="115"/>
      <c r="D5" s="115"/>
      <c r="E5" s="170">
        <v>0.06</v>
      </c>
      <c r="F5" s="174"/>
      <c r="G5" s="183">
        <f>+C6*D6*F6</f>
        <v>137685.6</v>
      </c>
      <c r="H5" s="160"/>
    </row>
    <row r="6" spans="1:9" x14ac:dyDescent="0.25">
      <c r="B6" s="116"/>
      <c r="C6" s="117">
        <v>6</v>
      </c>
      <c r="D6" s="118">
        <v>12</v>
      </c>
      <c r="E6" s="171"/>
      <c r="F6" s="191">
        <v>1912.3</v>
      </c>
      <c r="G6" s="184"/>
      <c r="H6" s="160"/>
      <c r="I6" s="160"/>
    </row>
    <row r="7" spans="1:9" x14ac:dyDescent="0.25">
      <c r="A7" s="113">
        <v>2</v>
      </c>
      <c r="B7" s="114" t="s">
        <v>50</v>
      </c>
      <c r="C7" s="115"/>
      <c r="D7" s="115"/>
      <c r="E7" s="170">
        <v>0.1</v>
      </c>
      <c r="F7" s="174"/>
      <c r="G7" s="183">
        <f>+C8*D8*F8</f>
        <v>229476.24</v>
      </c>
    </row>
    <row r="8" spans="1:9" x14ac:dyDescent="0.25">
      <c r="A8" s="119"/>
      <c r="B8" s="116"/>
      <c r="C8" s="117">
        <v>6</v>
      </c>
      <c r="D8" s="118">
        <v>12</v>
      </c>
      <c r="E8" s="122"/>
      <c r="F8" s="191">
        <v>3187.17</v>
      </c>
      <c r="G8" s="184"/>
    </row>
    <row r="9" spans="1:9" x14ac:dyDescent="0.25">
      <c r="A9" s="113">
        <v>3</v>
      </c>
      <c r="B9" s="114" t="s">
        <v>34</v>
      </c>
      <c r="C9" s="115"/>
      <c r="D9" s="115"/>
      <c r="E9" s="170">
        <v>0.03</v>
      </c>
      <c r="F9" s="174"/>
      <c r="G9" s="183">
        <f>+C10*D10*F10</f>
        <v>68842.8</v>
      </c>
      <c r="H9" s="164"/>
    </row>
    <row r="10" spans="1:9" x14ac:dyDescent="0.25">
      <c r="A10" s="120"/>
      <c r="B10" s="116"/>
      <c r="C10" s="117">
        <v>6</v>
      </c>
      <c r="D10" s="118">
        <v>12</v>
      </c>
      <c r="E10" s="122"/>
      <c r="F10" s="191">
        <f>1912.3/2</f>
        <v>956.15</v>
      </c>
      <c r="G10" s="184"/>
    </row>
    <row r="11" spans="1:9" x14ac:dyDescent="0.25">
      <c r="A11" s="113">
        <v>4</v>
      </c>
      <c r="B11" s="114" t="s">
        <v>35</v>
      </c>
      <c r="C11" s="115"/>
      <c r="D11" s="115"/>
      <c r="E11" s="170">
        <v>0.03</v>
      </c>
      <c r="F11" s="174"/>
      <c r="G11" s="183">
        <f>+C12*D12*F12</f>
        <v>68842.8</v>
      </c>
    </row>
    <row r="12" spans="1:9" x14ac:dyDescent="0.25">
      <c r="A12" s="119"/>
      <c r="B12" s="116"/>
      <c r="C12" s="117">
        <v>6</v>
      </c>
      <c r="D12" s="118">
        <v>12</v>
      </c>
      <c r="E12" s="122"/>
      <c r="F12" s="191">
        <f>1912.3/2</f>
        <v>956.15</v>
      </c>
      <c r="G12" s="184"/>
    </row>
    <row r="13" spans="1:9" x14ac:dyDescent="0.25">
      <c r="A13" s="113">
        <v>5</v>
      </c>
      <c r="B13" s="114" t="s">
        <v>49</v>
      </c>
      <c r="C13" s="113"/>
      <c r="D13" s="113"/>
      <c r="E13" s="170">
        <v>0.2</v>
      </c>
      <c r="F13" s="174"/>
      <c r="G13" s="183">
        <f>+C14*D14*F14</f>
        <v>469058.61599999998</v>
      </c>
    </row>
    <row r="14" spans="1:9" x14ac:dyDescent="0.25">
      <c r="A14" s="119"/>
      <c r="B14" s="116"/>
      <c r="C14" s="117">
        <v>6</v>
      </c>
      <c r="D14" s="118">
        <v>12</v>
      </c>
      <c r="E14" s="117"/>
      <c r="F14" s="191">
        <f>12748.65/2+140.378</f>
        <v>6514.7029999999995</v>
      </c>
      <c r="G14" s="184"/>
    </row>
    <row r="15" spans="1:9" x14ac:dyDescent="0.25">
      <c r="A15" s="113">
        <v>6</v>
      </c>
      <c r="B15" s="114" t="s">
        <v>51</v>
      </c>
      <c r="C15" s="113"/>
      <c r="D15" s="113"/>
      <c r="E15" s="170">
        <v>7.0000000000000007E-2</v>
      </c>
      <c r="F15" s="174"/>
      <c r="G15" s="183">
        <f>+C16*D16*F16</f>
        <v>160633.07999999999</v>
      </c>
    </row>
    <row r="16" spans="1:9" x14ac:dyDescent="0.25">
      <c r="A16" s="121"/>
      <c r="B16" s="116"/>
      <c r="C16" s="117">
        <v>6</v>
      </c>
      <c r="D16" s="118">
        <v>12</v>
      </c>
      <c r="E16" s="117"/>
      <c r="F16" s="191">
        <f>4462.03/2</f>
        <v>2231.0149999999999</v>
      </c>
      <c r="G16" s="184"/>
    </row>
    <row r="17" spans="1:9" x14ac:dyDescent="0.25">
      <c r="A17" s="113">
        <v>7</v>
      </c>
      <c r="B17" s="114" t="s">
        <v>126</v>
      </c>
      <c r="C17" s="113"/>
      <c r="D17" s="113"/>
      <c r="E17" s="170">
        <v>0.1</v>
      </c>
      <c r="F17" s="174"/>
      <c r="G17" s="183">
        <f>+C18*D18*F18</f>
        <v>229475.88</v>
      </c>
    </row>
    <row r="18" spans="1:9" x14ac:dyDescent="0.25">
      <c r="A18" s="121"/>
      <c r="B18" s="116"/>
      <c r="C18" s="117">
        <v>6</v>
      </c>
      <c r="D18" s="118">
        <v>12</v>
      </c>
      <c r="E18" s="117"/>
      <c r="F18" s="191">
        <f>6374.33/2</f>
        <v>3187.165</v>
      </c>
      <c r="G18" s="184"/>
    </row>
    <row r="19" spans="1:9" x14ac:dyDescent="0.25">
      <c r="A19" s="113">
        <v>8</v>
      </c>
      <c r="B19" s="114" t="s">
        <v>127</v>
      </c>
      <c r="C19" s="113"/>
      <c r="D19" s="113"/>
      <c r="E19" s="170">
        <v>0.1</v>
      </c>
      <c r="F19" s="174"/>
      <c r="G19" s="183">
        <f>+C20*D20*F20</f>
        <v>229476.24</v>
      </c>
    </row>
    <row r="20" spans="1:9" x14ac:dyDescent="0.25">
      <c r="A20" s="121"/>
      <c r="B20" s="116"/>
      <c r="C20" s="117">
        <v>6</v>
      </c>
      <c r="D20" s="118">
        <v>12</v>
      </c>
      <c r="E20" s="117"/>
      <c r="F20" s="191">
        <v>3187.17</v>
      </c>
      <c r="G20" s="184"/>
    </row>
    <row r="21" spans="1:9" x14ac:dyDescent="0.25">
      <c r="A21" s="112"/>
      <c r="B21" s="112" t="s">
        <v>128</v>
      </c>
      <c r="C21" s="112"/>
      <c r="D21" s="112"/>
      <c r="E21" s="182">
        <v>0.23</v>
      </c>
      <c r="F21" s="112"/>
      <c r="G21" s="185">
        <f>+G22+G24+G26+G28</f>
        <v>531163.43999999994</v>
      </c>
      <c r="H21" s="160"/>
    </row>
    <row r="22" spans="1:9" x14ac:dyDescent="0.25">
      <c r="A22" s="113">
        <v>9</v>
      </c>
      <c r="B22" s="114" t="s">
        <v>49</v>
      </c>
      <c r="C22" s="113"/>
      <c r="D22" s="113"/>
      <c r="E22" s="170">
        <v>0.14000000000000001</v>
      </c>
      <c r="F22" s="174"/>
      <c r="G22" s="183">
        <f>+C23*D23*F23</f>
        <v>324637.19999999995</v>
      </c>
      <c r="H22" s="160"/>
    </row>
    <row r="23" spans="1:9" x14ac:dyDescent="0.25">
      <c r="A23" s="119"/>
      <c r="B23" s="116"/>
      <c r="C23" s="117">
        <v>6</v>
      </c>
      <c r="D23" s="118">
        <v>12</v>
      </c>
      <c r="E23" s="117"/>
      <c r="F23" s="191">
        <f>8924.06/2+46.82</f>
        <v>4508.8499999999995</v>
      </c>
      <c r="G23" s="184"/>
    </row>
    <row r="24" spans="1:9" x14ac:dyDescent="0.25">
      <c r="A24" s="113">
        <v>10</v>
      </c>
      <c r="B24" s="114" t="s">
        <v>51</v>
      </c>
      <c r="C24" s="113"/>
      <c r="D24" s="113"/>
      <c r="E24" s="170">
        <v>0.04</v>
      </c>
      <c r="F24" s="174"/>
      <c r="G24" s="183">
        <f>+C25*D25*F25</f>
        <v>91790.28</v>
      </c>
    </row>
    <row r="25" spans="1:9" x14ac:dyDescent="0.25">
      <c r="A25" s="121"/>
      <c r="B25" s="116"/>
      <c r="C25" s="117">
        <v>6</v>
      </c>
      <c r="D25" s="118">
        <v>12</v>
      </c>
      <c r="E25" s="117"/>
      <c r="F25" s="191">
        <f>2549.73/2</f>
        <v>1274.865</v>
      </c>
      <c r="G25" s="184"/>
    </row>
    <row r="26" spans="1:9" x14ac:dyDescent="0.25">
      <c r="A26" s="113">
        <v>11</v>
      </c>
      <c r="B26" s="114" t="s">
        <v>126</v>
      </c>
      <c r="C26" s="113"/>
      <c r="D26" s="113"/>
      <c r="E26" s="170">
        <v>0.03</v>
      </c>
      <c r="F26" s="174"/>
      <c r="G26" s="183">
        <f>+D27*F27*C27</f>
        <v>68840.639999999999</v>
      </c>
    </row>
    <row r="27" spans="1:9" x14ac:dyDescent="0.25">
      <c r="A27" s="121"/>
      <c r="B27" s="116"/>
      <c r="C27" s="117">
        <v>6</v>
      </c>
      <c r="D27" s="118">
        <v>12</v>
      </c>
      <c r="E27" s="117"/>
      <c r="F27" s="191">
        <v>956.12</v>
      </c>
      <c r="G27" s="184"/>
    </row>
    <row r="28" spans="1:9" x14ac:dyDescent="0.25">
      <c r="A28" s="113">
        <v>12</v>
      </c>
      <c r="B28" s="114" t="s">
        <v>127</v>
      </c>
      <c r="C28" s="113"/>
      <c r="D28" s="113"/>
      <c r="E28" s="170">
        <v>0.02</v>
      </c>
      <c r="F28" s="174"/>
      <c r="G28" s="183">
        <f>+C29*D29*F29</f>
        <v>45895.319999999992</v>
      </c>
      <c r="I28" s="160"/>
    </row>
    <row r="29" spans="1:9" x14ac:dyDescent="0.25">
      <c r="A29" s="121"/>
      <c r="B29" s="116"/>
      <c r="C29" s="117">
        <v>6</v>
      </c>
      <c r="D29" s="118">
        <v>12</v>
      </c>
      <c r="E29" s="117"/>
      <c r="F29" s="191">
        <f>1274.87/2</f>
        <v>637.43499999999995</v>
      </c>
      <c r="G29" s="184"/>
      <c r="I29" s="160"/>
    </row>
    <row r="30" spans="1:9" x14ac:dyDescent="0.25">
      <c r="A30" s="112"/>
      <c r="B30" s="112" t="s">
        <v>129</v>
      </c>
      <c r="C30" s="112"/>
      <c r="D30" s="112"/>
      <c r="E30" s="182">
        <v>0.08</v>
      </c>
      <c r="F30" s="112"/>
      <c r="G30" s="185">
        <f>+C32*D32*F32</f>
        <v>184432.28320008001</v>
      </c>
      <c r="H30" s="160"/>
    </row>
    <row r="31" spans="1:9" x14ac:dyDescent="0.25">
      <c r="A31" s="113">
        <v>13</v>
      </c>
      <c r="B31" s="114" t="s">
        <v>119</v>
      </c>
      <c r="C31" s="113"/>
      <c r="D31" s="113"/>
      <c r="E31" s="170"/>
      <c r="F31" s="174"/>
      <c r="G31" s="183">
        <f>+C32*D32*F32</f>
        <v>184432.28320008001</v>
      </c>
    </row>
    <row r="32" spans="1:9" x14ac:dyDescent="0.25">
      <c r="A32" s="186"/>
      <c r="B32" s="187"/>
      <c r="C32" s="188">
        <v>6</v>
      </c>
      <c r="D32" s="189">
        <v>12</v>
      </c>
      <c r="E32" s="188"/>
      <c r="F32" s="191">
        <f>2566.01-5.56+1.1+0.00948889</f>
        <v>2561.55948889</v>
      </c>
      <c r="G32" s="190"/>
    </row>
    <row r="33" spans="2:8" x14ac:dyDescent="0.25">
      <c r="B33" s="112" t="s">
        <v>124</v>
      </c>
      <c r="C33" s="112"/>
      <c r="D33" s="112"/>
      <c r="E33" s="182"/>
      <c r="F33" s="112"/>
      <c r="G33" s="185">
        <f>+G4+G21+G30-0.34</f>
        <v>2309086.6392000797</v>
      </c>
    </row>
    <row r="35" spans="2:8" x14ac:dyDescent="0.25">
      <c r="G35" s="160"/>
    </row>
    <row r="36" spans="2:8" x14ac:dyDescent="0.25">
      <c r="E36" s="164"/>
      <c r="G36" s="181"/>
      <c r="H36" s="160"/>
    </row>
    <row r="37" spans="2:8" x14ac:dyDescent="0.25">
      <c r="G37" s="160"/>
      <c r="H37" s="160"/>
    </row>
    <row r="38" spans="2:8" x14ac:dyDescent="0.25">
      <c r="G38" s="160"/>
    </row>
  </sheetData>
  <mergeCells count="5"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A11F-F0C6-4ED5-B17F-8773A307C54F}">
  <dimension ref="A1:I38"/>
  <sheetViews>
    <sheetView topLeftCell="A25" zoomScale="139" zoomScaleNormal="256" workbookViewId="0">
      <selection activeCell="G34" sqref="G34"/>
    </sheetView>
  </sheetViews>
  <sheetFormatPr baseColWidth="10" defaultRowHeight="15" x14ac:dyDescent="0.25"/>
  <cols>
    <col min="2" max="2" width="55.28515625" customWidth="1"/>
    <col min="7" max="7" width="16.7109375" bestFit="1" customWidth="1"/>
    <col min="8" max="8" width="21.140625" bestFit="1" customWidth="1"/>
    <col min="9" max="9" width="15.85546875" customWidth="1"/>
  </cols>
  <sheetData>
    <row r="1" spans="1:9" x14ac:dyDescent="0.25">
      <c r="A1" s="143" t="s">
        <v>53</v>
      </c>
      <c r="B1" s="144"/>
      <c r="C1" s="144"/>
      <c r="D1" s="144"/>
      <c r="E1" s="144"/>
      <c r="F1" s="144"/>
      <c r="G1" s="145"/>
    </row>
    <row r="2" spans="1:9" x14ac:dyDescent="0.25">
      <c r="A2" s="146" t="s">
        <v>0</v>
      </c>
      <c r="B2" s="146"/>
      <c r="C2" s="146" t="s">
        <v>4</v>
      </c>
      <c r="D2" s="112" t="s">
        <v>43</v>
      </c>
      <c r="E2" s="112" t="s">
        <v>44</v>
      </c>
      <c r="F2" s="146" t="s">
        <v>45</v>
      </c>
      <c r="G2" s="146" t="s">
        <v>46</v>
      </c>
    </row>
    <row r="3" spans="1:9" x14ac:dyDescent="0.25">
      <c r="A3" s="146"/>
      <c r="B3" s="146"/>
      <c r="C3" s="146"/>
      <c r="D3" s="112" t="s">
        <v>47</v>
      </c>
      <c r="E3" s="112" t="s">
        <v>48</v>
      </c>
      <c r="F3" s="146"/>
      <c r="G3" s="146"/>
    </row>
    <row r="4" spans="1:9" x14ac:dyDescent="0.25">
      <c r="A4" s="112"/>
      <c r="B4" s="112" t="s">
        <v>125</v>
      </c>
      <c r="C4" s="112"/>
      <c r="D4" s="112"/>
      <c r="E4" s="182">
        <v>0.69</v>
      </c>
      <c r="F4" s="112"/>
      <c r="G4" s="185">
        <f>+G5+G7+G9+G11+G13+G15+G17+G19</f>
        <v>1593491.7599999998</v>
      </c>
      <c r="H4" s="160"/>
    </row>
    <row r="5" spans="1:9" x14ac:dyDescent="0.25">
      <c r="A5" s="113">
        <v>1</v>
      </c>
      <c r="B5" s="114" t="s">
        <v>32</v>
      </c>
      <c r="C5" s="115"/>
      <c r="D5" s="115"/>
      <c r="E5" s="170">
        <v>0.06</v>
      </c>
      <c r="F5" s="174"/>
      <c r="G5" s="183">
        <f>+C6*D6*F6</f>
        <v>137685.6</v>
      </c>
      <c r="H5" s="160"/>
    </row>
    <row r="6" spans="1:9" x14ac:dyDescent="0.25">
      <c r="B6" s="116"/>
      <c r="C6" s="117">
        <v>6</v>
      </c>
      <c r="D6" s="118">
        <v>12</v>
      </c>
      <c r="E6" s="171"/>
      <c r="F6" s="191">
        <v>1912.3</v>
      </c>
      <c r="G6" s="184"/>
      <c r="H6" s="160"/>
      <c r="I6" s="160"/>
    </row>
    <row r="7" spans="1:9" x14ac:dyDescent="0.25">
      <c r="A7" s="113">
        <v>2</v>
      </c>
      <c r="B7" s="114" t="s">
        <v>50</v>
      </c>
      <c r="C7" s="115"/>
      <c r="D7" s="115"/>
      <c r="E7" s="170">
        <v>0.1</v>
      </c>
      <c r="F7" s="174"/>
      <c r="G7" s="183">
        <f>+C8*D8*F8</f>
        <v>229476.24</v>
      </c>
    </row>
    <row r="8" spans="1:9" x14ac:dyDescent="0.25">
      <c r="A8" s="119"/>
      <c r="B8" s="116"/>
      <c r="C8" s="117">
        <v>6</v>
      </c>
      <c r="D8" s="118">
        <v>12</v>
      </c>
      <c r="E8" s="122"/>
      <c r="F8" s="191">
        <v>3187.17</v>
      </c>
      <c r="G8" s="184"/>
    </row>
    <row r="9" spans="1:9" x14ac:dyDescent="0.25">
      <c r="A9" s="113">
        <v>3</v>
      </c>
      <c r="B9" s="114" t="s">
        <v>34</v>
      </c>
      <c r="C9" s="115"/>
      <c r="D9" s="115"/>
      <c r="E9" s="170">
        <v>0.03</v>
      </c>
      <c r="F9" s="174"/>
      <c r="G9" s="183">
        <f>+C10*D10*F10</f>
        <v>68842.8</v>
      </c>
      <c r="H9" s="164"/>
    </row>
    <row r="10" spans="1:9" x14ac:dyDescent="0.25">
      <c r="A10" s="120"/>
      <c r="B10" s="116"/>
      <c r="C10" s="117">
        <v>6</v>
      </c>
      <c r="D10" s="118">
        <v>12</v>
      </c>
      <c r="E10" s="122"/>
      <c r="F10" s="191">
        <v>956.15</v>
      </c>
      <c r="G10" s="184"/>
    </row>
    <row r="11" spans="1:9" x14ac:dyDescent="0.25">
      <c r="A11" s="113">
        <v>4</v>
      </c>
      <c r="B11" s="114" t="s">
        <v>35</v>
      </c>
      <c r="C11" s="115"/>
      <c r="D11" s="115"/>
      <c r="E11" s="170">
        <v>0.03</v>
      </c>
      <c r="F11" s="174"/>
      <c r="G11" s="183">
        <f>+C12*D12*F12</f>
        <v>68842.8</v>
      </c>
    </row>
    <row r="12" spans="1:9" x14ac:dyDescent="0.25">
      <c r="A12" s="119"/>
      <c r="B12" s="116"/>
      <c r="C12" s="117">
        <v>6</v>
      </c>
      <c r="D12" s="118">
        <v>12</v>
      </c>
      <c r="E12" s="122"/>
      <c r="F12" s="191">
        <v>956.15</v>
      </c>
      <c r="G12" s="184"/>
    </row>
    <row r="13" spans="1:9" x14ac:dyDescent="0.25">
      <c r="A13" s="113">
        <v>5</v>
      </c>
      <c r="B13" s="114" t="s">
        <v>49</v>
      </c>
      <c r="C13" s="113"/>
      <c r="D13" s="113"/>
      <c r="E13" s="170">
        <v>0.2</v>
      </c>
      <c r="F13" s="174"/>
      <c r="G13" s="183">
        <f>+C14*D14*F14</f>
        <v>469058.39999999997</v>
      </c>
    </row>
    <row r="14" spans="1:9" x14ac:dyDescent="0.25">
      <c r="A14" s="119"/>
      <c r="B14" s="116"/>
      <c r="C14" s="117">
        <v>6</v>
      </c>
      <c r="D14" s="118">
        <v>12</v>
      </c>
      <c r="E14" s="117"/>
      <c r="F14" s="191">
        <v>6514.7</v>
      </c>
      <c r="G14" s="184"/>
    </row>
    <row r="15" spans="1:9" x14ac:dyDescent="0.25">
      <c r="A15" s="113">
        <v>6</v>
      </c>
      <c r="B15" s="114" t="s">
        <v>51</v>
      </c>
      <c r="C15" s="113"/>
      <c r="D15" s="113"/>
      <c r="E15" s="170">
        <v>7.0000000000000007E-2</v>
      </c>
      <c r="F15" s="174"/>
      <c r="G15" s="183">
        <f>+C16*D16*F16</f>
        <v>160633.44</v>
      </c>
    </row>
    <row r="16" spans="1:9" x14ac:dyDescent="0.25">
      <c r="A16" s="121"/>
      <c r="B16" s="116"/>
      <c r="C16" s="117">
        <v>6</v>
      </c>
      <c r="D16" s="118">
        <v>12</v>
      </c>
      <c r="E16" s="117"/>
      <c r="F16" s="191">
        <v>2231.02</v>
      </c>
      <c r="G16" s="184"/>
    </row>
    <row r="17" spans="1:9" x14ac:dyDescent="0.25">
      <c r="A17" s="113">
        <v>7</v>
      </c>
      <c r="B17" s="114" t="s">
        <v>126</v>
      </c>
      <c r="C17" s="113"/>
      <c r="D17" s="113"/>
      <c r="E17" s="170">
        <v>0.1</v>
      </c>
      <c r="F17" s="174"/>
      <c r="G17" s="183">
        <f>+C18*D18*F18</f>
        <v>229476.24</v>
      </c>
    </row>
    <row r="18" spans="1:9" x14ac:dyDescent="0.25">
      <c r="A18" s="121"/>
      <c r="B18" s="116"/>
      <c r="C18" s="117">
        <v>6</v>
      </c>
      <c r="D18" s="118">
        <v>12</v>
      </c>
      <c r="E18" s="117"/>
      <c r="F18" s="191">
        <v>3187.17</v>
      </c>
      <c r="G18" s="184"/>
    </row>
    <row r="19" spans="1:9" x14ac:dyDescent="0.25">
      <c r="A19" s="113">
        <v>8</v>
      </c>
      <c r="B19" s="114" t="s">
        <v>127</v>
      </c>
      <c r="C19" s="113"/>
      <c r="D19" s="113"/>
      <c r="E19" s="170">
        <v>0.1</v>
      </c>
      <c r="F19" s="174"/>
      <c r="G19" s="183">
        <f>+C20*D20*F20</f>
        <v>229476.24</v>
      </c>
    </row>
    <row r="20" spans="1:9" x14ac:dyDescent="0.25">
      <c r="A20" s="121"/>
      <c r="B20" s="116"/>
      <c r="C20" s="117">
        <v>6</v>
      </c>
      <c r="D20" s="118">
        <v>12</v>
      </c>
      <c r="E20" s="117"/>
      <c r="F20" s="191">
        <v>3187.17</v>
      </c>
      <c r="G20" s="184"/>
    </row>
    <row r="21" spans="1:9" x14ac:dyDescent="0.25">
      <c r="A21" s="112"/>
      <c r="B21" s="112" t="s">
        <v>128</v>
      </c>
      <c r="C21" s="112"/>
      <c r="D21" s="112"/>
      <c r="E21" s="182">
        <v>0.23</v>
      </c>
      <c r="F21" s="112"/>
      <c r="G21" s="185">
        <f>+G22+G24+G26+G28</f>
        <v>531163.43999999994</v>
      </c>
      <c r="H21" s="160"/>
    </row>
    <row r="22" spans="1:9" x14ac:dyDescent="0.25">
      <c r="A22" s="113">
        <v>9</v>
      </c>
      <c r="B22" s="114" t="s">
        <v>49</v>
      </c>
      <c r="C22" s="113"/>
      <c r="D22" s="113"/>
      <c r="E22" s="170">
        <v>0.14000000000000001</v>
      </c>
      <c r="F22" s="174"/>
      <c r="G22" s="183">
        <f>+C23*D23*F23</f>
        <v>324637.19999999995</v>
      </c>
      <c r="H22" s="160"/>
    </row>
    <row r="23" spans="1:9" x14ac:dyDescent="0.25">
      <c r="A23" s="119"/>
      <c r="B23" s="116"/>
      <c r="C23" s="117">
        <v>6</v>
      </c>
      <c r="D23" s="118">
        <v>12</v>
      </c>
      <c r="E23" s="117"/>
      <c r="F23" s="191">
        <f>+'PBVRP-Cañete'!F23</f>
        <v>4508.8499999999995</v>
      </c>
      <c r="G23" s="184"/>
    </row>
    <row r="24" spans="1:9" x14ac:dyDescent="0.25">
      <c r="A24" s="113">
        <v>10</v>
      </c>
      <c r="B24" s="114" t="s">
        <v>51</v>
      </c>
      <c r="C24" s="113"/>
      <c r="D24" s="113"/>
      <c r="E24" s="170">
        <v>0.04</v>
      </c>
      <c r="F24" s="174"/>
      <c r="G24" s="183">
        <f>+C25*D25*F25</f>
        <v>91790.28</v>
      </c>
    </row>
    <row r="25" spans="1:9" x14ac:dyDescent="0.25">
      <c r="A25" s="121"/>
      <c r="B25" s="116"/>
      <c r="C25" s="117">
        <v>6</v>
      </c>
      <c r="D25" s="118">
        <v>12</v>
      </c>
      <c r="E25" s="117"/>
      <c r="F25" s="191">
        <f>+'PBVRP-Cañete'!F25</f>
        <v>1274.865</v>
      </c>
      <c r="G25" s="184"/>
    </row>
    <row r="26" spans="1:9" x14ac:dyDescent="0.25">
      <c r="A26" s="113">
        <v>11</v>
      </c>
      <c r="B26" s="114" t="s">
        <v>126</v>
      </c>
      <c r="C26" s="113"/>
      <c r="D26" s="113"/>
      <c r="E26" s="170">
        <v>0.03</v>
      </c>
      <c r="F26" s="174"/>
      <c r="G26" s="183">
        <f>+D27*F27*C27</f>
        <v>68840.639999999999</v>
      </c>
    </row>
    <row r="27" spans="1:9" x14ac:dyDescent="0.25">
      <c r="A27" s="121"/>
      <c r="B27" s="116"/>
      <c r="C27" s="117">
        <v>6</v>
      </c>
      <c r="D27" s="118">
        <v>12</v>
      </c>
      <c r="E27" s="117"/>
      <c r="F27" s="191">
        <f>+'PBVRP-Cañete'!F27</f>
        <v>956.12</v>
      </c>
      <c r="G27" s="184"/>
    </row>
    <row r="28" spans="1:9" x14ac:dyDescent="0.25">
      <c r="A28" s="113">
        <v>12</v>
      </c>
      <c r="B28" s="114" t="s">
        <v>127</v>
      </c>
      <c r="C28" s="113"/>
      <c r="D28" s="113"/>
      <c r="E28" s="170">
        <v>0.02</v>
      </c>
      <c r="F28" s="174"/>
      <c r="G28" s="183">
        <f>+C29*D29*F29</f>
        <v>45895.319999999992</v>
      </c>
      <c r="I28" s="160"/>
    </row>
    <row r="29" spans="1:9" x14ac:dyDescent="0.25">
      <c r="A29" s="121"/>
      <c r="B29" s="116"/>
      <c r="C29" s="117">
        <v>6</v>
      </c>
      <c r="D29" s="118">
        <v>12</v>
      </c>
      <c r="E29" s="117"/>
      <c r="F29" s="191">
        <f>+'PBVRP-Cañete'!F29</f>
        <v>637.43499999999995</v>
      </c>
      <c r="G29" s="184"/>
      <c r="I29" s="160"/>
    </row>
    <row r="30" spans="1:9" x14ac:dyDescent="0.25">
      <c r="A30" s="112"/>
      <c r="B30" s="112" t="s">
        <v>129</v>
      </c>
      <c r="C30" s="112"/>
      <c r="D30" s="112"/>
      <c r="E30" s="182">
        <v>0.08</v>
      </c>
      <c r="F30" s="112"/>
      <c r="G30" s="185">
        <f>+C32*D32*F32</f>
        <v>184432.28320008001</v>
      </c>
      <c r="H30" s="160"/>
    </row>
    <row r="31" spans="1:9" x14ac:dyDescent="0.25">
      <c r="A31" s="113">
        <v>13</v>
      </c>
      <c r="B31" s="114" t="s">
        <v>119</v>
      </c>
      <c r="C31" s="113"/>
      <c r="D31" s="113"/>
      <c r="E31" s="170"/>
      <c r="F31" s="174"/>
      <c r="G31" s="183">
        <f>+E31*G41</f>
        <v>0</v>
      </c>
    </row>
    <row r="32" spans="1:9" x14ac:dyDescent="0.25">
      <c r="A32" s="186"/>
      <c r="B32" s="187"/>
      <c r="C32" s="188">
        <v>6</v>
      </c>
      <c r="D32" s="189">
        <v>12</v>
      </c>
      <c r="E32" s="188"/>
      <c r="F32" s="191">
        <f>+'PBVRP-Cañete'!F32</f>
        <v>2561.55948889</v>
      </c>
      <c r="G32" s="190"/>
    </row>
    <row r="33" spans="2:8" x14ac:dyDescent="0.25">
      <c r="B33" s="112" t="s">
        <v>124</v>
      </c>
      <c r="C33" s="112"/>
      <c r="D33" s="112"/>
      <c r="E33" s="182"/>
      <c r="F33" s="112"/>
      <c r="G33" s="185">
        <f>+G4+G21+G30-0.5-0.34</f>
        <v>2309086.6432000799</v>
      </c>
    </row>
    <row r="34" spans="2:8" x14ac:dyDescent="0.25">
      <c r="G34" s="166"/>
    </row>
    <row r="35" spans="2:8" x14ac:dyDescent="0.25">
      <c r="G35" s="160"/>
    </row>
    <row r="36" spans="2:8" x14ac:dyDescent="0.25">
      <c r="E36" s="164"/>
      <c r="G36" s="166"/>
      <c r="H36" s="160"/>
    </row>
    <row r="37" spans="2:8" x14ac:dyDescent="0.25">
      <c r="G37" s="160"/>
    </row>
    <row r="38" spans="2:8" x14ac:dyDescent="0.25">
      <c r="G38" s="160"/>
    </row>
  </sheetData>
  <mergeCells count="5">
    <mergeCell ref="A1:G1"/>
    <mergeCell ref="A2:B3"/>
    <mergeCell ref="C2:C3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EBEF-5567-46CA-B9DD-57755CA40DE7}">
  <dimension ref="C4:E16"/>
  <sheetViews>
    <sheetView zoomScaleNormal="100" workbookViewId="0">
      <selection activeCell="E7" sqref="E7"/>
    </sheetView>
  </sheetViews>
  <sheetFormatPr baseColWidth="10" defaultRowHeight="15" x14ac:dyDescent="0.25"/>
  <cols>
    <col min="3" max="3" width="40.28515625" customWidth="1"/>
    <col min="4" max="4" width="27.140625" customWidth="1"/>
    <col min="5" max="5" width="28" customWidth="1"/>
  </cols>
  <sheetData>
    <row r="4" spans="3:5" x14ac:dyDescent="0.25">
      <c r="C4" s="147" t="s">
        <v>67</v>
      </c>
      <c r="D4" s="148"/>
      <c r="E4" s="149"/>
    </row>
    <row r="5" spans="3:5" x14ac:dyDescent="0.25">
      <c r="C5" s="150" t="s">
        <v>54</v>
      </c>
      <c r="D5" s="152" t="s">
        <v>55</v>
      </c>
      <c r="E5" s="152" t="s">
        <v>56</v>
      </c>
    </row>
    <row r="6" spans="3:5" x14ac:dyDescent="0.25">
      <c r="C6" s="151"/>
      <c r="D6" s="152"/>
      <c r="E6" s="152"/>
    </row>
    <row r="7" spans="3:5" x14ac:dyDescent="0.25">
      <c r="C7" s="129" t="s">
        <v>10</v>
      </c>
      <c r="D7" s="125"/>
      <c r="E7" s="130">
        <v>0.47110000000000002</v>
      </c>
    </row>
    <row r="8" spans="3:5" x14ac:dyDescent="0.25">
      <c r="C8" s="123" t="s">
        <v>58</v>
      </c>
      <c r="D8" s="125">
        <v>7500</v>
      </c>
      <c r="E8" s="124">
        <f>+D8*(1+$E$7)</f>
        <v>11033.25</v>
      </c>
    </row>
    <row r="9" spans="3:5" x14ac:dyDescent="0.25">
      <c r="C9" s="123" t="s">
        <v>13</v>
      </c>
      <c r="D9" s="125">
        <v>5500</v>
      </c>
      <c r="E9" s="124">
        <f t="shared" ref="E9:E16" si="0">+D9*(1+$E$7)</f>
        <v>8091.05</v>
      </c>
    </row>
    <row r="10" spans="3:5" x14ac:dyDescent="0.25">
      <c r="C10" s="123" t="s">
        <v>57</v>
      </c>
      <c r="D10" s="125">
        <v>5500</v>
      </c>
      <c r="E10" s="124">
        <f t="shared" si="0"/>
        <v>8091.05</v>
      </c>
    </row>
    <row r="11" spans="3:5" x14ac:dyDescent="0.25">
      <c r="C11" s="123" t="s">
        <v>59</v>
      </c>
      <c r="D11" s="125">
        <v>5500</v>
      </c>
      <c r="E11" s="124">
        <f t="shared" si="0"/>
        <v>8091.05</v>
      </c>
    </row>
    <row r="12" spans="3:5" x14ac:dyDescent="0.25">
      <c r="C12" s="123" t="s">
        <v>60</v>
      </c>
      <c r="D12" s="125">
        <v>5500</v>
      </c>
      <c r="E12" s="124">
        <f t="shared" si="0"/>
        <v>8091.05</v>
      </c>
    </row>
    <row r="13" spans="3:5" x14ac:dyDescent="0.25">
      <c r="C13" s="123" t="s">
        <v>61</v>
      </c>
      <c r="D13" s="125">
        <v>3500</v>
      </c>
      <c r="E13" s="124">
        <f t="shared" si="0"/>
        <v>5148.8500000000004</v>
      </c>
    </row>
    <row r="14" spans="3:5" x14ac:dyDescent="0.25">
      <c r="C14" s="123" t="s">
        <v>62</v>
      </c>
      <c r="D14" s="125">
        <v>2500</v>
      </c>
      <c r="E14" s="124">
        <f t="shared" si="0"/>
        <v>3677.75</v>
      </c>
    </row>
    <row r="15" spans="3:5" x14ac:dyDescent="0.25">
      <c r="C15" s="123" t="s">
        <v>63</v>
      </c>
      <c r="D15" s="125">
        <v>2500</v>
      </c>
      <c r="E15" s="124">
        <f t="shared" si="0"/>
        <v>3677.75</v>
      </c>
    </row>
    <row r="16" spans="3:5" x14ac:dyDescent="0.25">
      <c r="C16" s="123" t="s">
        <v>69</v>
      </c>
      <c r="D16" s="125">
        <v>2500</v>
      </c>
      <c r="E16" s="124">
        <f t="shared" si="0"/>
        <v>3677.75</v>
      </c>
    </row>
  </sheetData>
  <mergeCells count="4">
    <mergeCell ref="C4:E4"/>
    <mergeCell ref="C5:C6"/>
    <mergeCell ref="D5:D6"/>
    <mergeCell ref="E5:E6"/>
  </mergeCells>
  <phoneticPr fontId="29" type="noConversion"/>
  <pageMargins left="0.7" right="0.7" top="0.75" bottom="0.75" header="0.3" footer="0.3"/>
  <pageSetup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F6AF-8B40-43F9-9084-E9179536A564}">
  <dimension ref="C3:E16"/>
  <sheetViews>
    <sheetView zoomScaleNormal="100" workbookViewId="0">
      <selection activeCell="E26" sqref="E26"/>
    </sheetView>
  </sheetViews>
  <sheetFormatPr baseColWidth="10" defaultRowHeight="15" x14ac:dyDescent="0.25"/>
  <cols>
    <col min="3" max="3" width="34" bestFit="1" customWidth="1"/>
    <col min="4" max="4" width="19" customWidth="1"/>
    <col min="5" max="5" width="28" customWidth="1"/>
  </cols>
  <sheetData>
    <row r="3" spans="3:5" x14ac:dyDescent="0.25">
      <c r="E3" s="162">
        <v>0.47110000000000002</v>
      </c>
    </row>
    <row r="4" spans="3:5" x14ac:dyDescent="0.25">
      <c r="C4" s="147" t="s">
        <v>68</v>
      </c>
      <c r="D4" s="148"/>
      <c r="E4" s="149"/>
    </row>
    <row r="5" spans="3:5" x14ac:dyDescent="0.25">
      <c r="C5" s="150" t="s">
        <v>54</v>
      </c>
      <c r="D5" s="152" t="s">
        <v>55</v>
      </c>
      <c r="E5" s="152" t="s">
        <v>56</v>
      </c>
    </row>
    <row r="6" spans="3:5" x14ac:dyDescent="0.25">
      <c r="C6" s="151"/>
      <c r="D6" s="152"/>
      <c r="E6" s="152"/>
    </row>
    <row r="7" spans="3:5" x14ac:dyDescent="0.25">
      <c r="C7" s="153" t="s">
        <v>10</v>
      </c>
      <c r="D7" s="153"/>
      <c r="E7" s="153"/>
    </row>
    <row r="8" spans="3:5" x14ac:dyDescent="0.25">
      <c r="C8" s="123" t="s">
        <v>58</v>
      </c>
      <c r="D8" s="125">
        <v>7500</v>
      </c>
      <c r="E8" s="163">
        <f>+D8*(1+$E$3)</f>
        <v>11033.25</v>
      </c>
    </row>
    <row r="9" spans="3:5" x14ac:dyDescent="0.25">
      <c r="C9" s="123" t="s">
        <v>13</v>
      </c>
      <c r="D9" s="125">
        <v>5500</v>
      </c>
      <c r="E9" s="163">
        <f t="shared" ref="E9:E16" si="0">+D9*(1+$E$3)</f>
        <v>8091.05</v>
      </c>
    </row>
    <row r="10" spans="3:5" x14ac:dyDescent="0.25">
      <c r="C10" s="123" t="s">
        <v>57</v>
      </c>
      <c r="D10" s="125">
        <v>5500</v>
      </c>
      <c r="E10" s="163">
        <f t="shared" si="0"/>
        <v>8091.05</v>
      </c>
    </row>
    <row r="11" spans="3:5" x14ac:dyDescent="0.25">
      <c r="C11" s="123" t="s">
        <v>59</v>
      </c>
      <c r="D11" s="125">
        <v>5500</v>
      </c>
      <c r="E11" s="163">
        <f t="shared" si="0"/>
        <v>8091.05</v>
      </c>
    </row>
    <row r="12" spans="3:5" x14ac:dyDescent="0.25">
      <c r="C12" s="123" t="s">
        <v>60</v>
      </c>
      <c r="D12" s="125">
        <v>5500</v>
      </c>
      <c r="E12" s="163">
        <f t="shared" si="0"/>
        <v>8091.05</v>
      </c>
    </row>
    <row r="13" spans="3:5" x14ac:dyDescent="0.25">
      <c r="C13" s="123" t="s">
        <v>61</v>
      </c>
      <c r="D13" s="125">
        <v>3500</v>
      </c>
      <c r="E13" s="163">
        <f t="shared" si="0"/>
        <v>5148.8500000000004</v>
      </c>
    </row>
    <row r="14" spans="3:5" x14ac:dyDescent="0.25">
      <c r="C14" s="123" t="s">
        <v>62</v>
      </c>
      <c r="D14" s="125">
        <v>2500</v>
      </c>
      <c r="E14" s="163">
        <f t="shared" si="0"/>
        <v>3677.75</v>
      </c>
    </row>
    <row r="15" spans="3:5" x14ac:dyDescent="0.25">
      <c r="C15" s="123" t="s">
        <v>63</v>
      </c>
      <c r="D15" s="125">
        <v>2500</v>
      </c>
      <c r="E15" s="163">
        <f t="shared" si="0"/>
        <v>3677.75</v>
      </c>
    </row>
    <row r="16" spans="3:5" x14ac:dyDescent="0.25">
      <c r="C16" s="123" t="s">
        <v>69</v>
      </c>
      <c r="D16" s="125">
        <v>2500</v>
      </c>
      <c r="E16" s="163">
        <f t="shared" si="0"/>
        <v>3677.75</v>
      </c>
    </row>
  </sheetData>
  <mergeCells count="5">
    <mergeCell ref="C4:E4"/>
    <mergeCell ref="C5:C6"/>
    <mergeCell ref="D5:D6"/>
    <mergeCell ref="E5:E6"/>
    <mergeCell ref="C7:E7"/>
  </mergeCells>
  <phoneticPr fontId="29" type="noConversion"/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PPT -General</vt:lpstr>
      <vt:lpstr>PBVRP-Cañete</vt:lpstr>
      <vt:lpstr>PBVRP-Huaura</vt:lpstr>
      <vt:lpstr>Planilla-Cañete</vt:lpstr>
      <vt:lpstr>Planilla-Huaura</vt:lpstr>
      <vt:lpstr>'PBVRP-Cañete'!Área_de_impresión</vt:lpstr>
      <vt:lpstr>'Planilla-Cañete'!Área_de_impresión</vt:lpstr>
      <vt:lpstr>'Planilla-Huaura'!Área_de_impresión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Cordero</cp:lastModifiedBy>
  <dcterms:created xsi:type="dcterms:W3CDTF">2023-03-01T21:32:02Z</dcterms:created>
  <dcterms:modified xsi:type="dcterms:W3CDTF">2023-04-01T21:06:57Z</dcterms:modified>
</cp:coreProperties>
</file>