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defaultThemeVersion="166925"/>
  <mc:AlternateContent xmlns:mc="http://schemas.openxmlformats.org/markup-compatibility/2006">
    <mc:Choice Requires="x15">
      <x15ac:absPath xmlns:x15ac="http://schemas.microsoft.com/office/spreadsheetml/2010/11/ac" url="/Users/cliente/Desktop/"/>
    </mc:Choice>
  </mc:AlternateContent>
  <xr:revisionPtr revIDLastSave="0" documentId="13_ncr:1_{AD7B890A-D643-4C41-8D74-AAD6589401C0}" xr6:coauthVersionLast="47" xr6:coauthVersionMax="47" xr10:uidLastSave="{00000000-0000-0000-0000-000000000000}"/>
  <bookViews>
    <workbookView xWindow="0" yWindow="500" windowWidth="23260" windowHeight="12460" activeTab="4" xr2:uid="{00000000-000D-0000-FFFF-FFFF00000000}"/>
  </bookViews>
  <sheets>
    <sheet name="Resumen" sheetId="5" r:id="rId1"/>
    <sheet name="Obras" sheetId="6" r:id="rId2"/>
    <sheet name="Mov. de Tierras" sheetId="9" r:id="rId3"/>
    <sheet name="Mantenimiento" sheetId="8" r:id="rId4"/>
    <sheet name="Alq. Equipos, Maquinarias" sheetId="7" r:id="rId5"/>
    <sheet name="USD" sheetId="1" state="hidden" r:id="rId6"/>
  </sheets>
  <externalReferences>
    <externalReference r:id="rId7"/>
  </externalReferences>
  <definedNames>
    <definedName name="_xlnm._FilterDatabase" localSheetId="5" hidden="1">USD!$N$1:$N$231</definedName>
    <definedName name="_xlnm.Print_Area" localSheetId="4">'Alq. Equipos, Maquinarias'!$B$1:$H$32</definedName>
    <definedName name="_xlnm.Print_Area" localSheetId="3">Mantenimiento!$A$1:$J$10</definedName>
    <definedName name="_xlnm.Print_Area" localSheetId="2">'Mov. de Tierras'!$A$1:$J$9</definedName>
    <definedName name="_xlnm.Print_Area" localSheetId="1">Obras!$B$1:$J$22</definedName>
    <definedName name="_xlnm.Print_Area" localSheetId="0">Resumen!$C$1:$D$10</definedName>
    <definedName name="_xlnm.Print_Area" localSheetId="5">USD!$B$2:$O$203</definedName>
    <definedName name="_xlnm.Print_Titles" localSheetId="5">USD!$3:$8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22" i="6" l="1"/>
  <c r="D6" i="5" s="1"/>
  <c r="D7" i="5"/>
  <c r="E9" i="9"/>
  <c r="D8" i="5"/>
  <c r="E10" i="8"/>
  <c r="E32" i="7"/>
  <c r="E28" i="7"/>
  <c r="E20" i="7"/>
  <c r="I19" i="7"/>
  <c r="E12" i="7"/>
  <c r="E8" i="7"/>
  <c r="E9" i="5"/>
  <c r="E8" i="5"/>
  <c r="E7" i="5"/>
  <c r="D9" i="5" l="1"/>
  <c r="D10" i="5" s="1"/>
  <c r="E10" i="5"/>
  <c r="Q178" i="1"/>
  <c r="Q179" i="1"/>
  <c r="F231" i="1" l="1"/>
  <c r="F229" i="1"/>
  <c r="G227" i="1"/>
  <c r="G208" i="1"/>
  <c r="F206" i="1"/>
  <c r="G206" i="1" s="1"/>
  <c r="F205" i="1"/>
  <c r="G205" i="1" s="1"/>
  <c r="Q177" i="1" l="1"/>
  <c r="M177" i="1"/>
  <c r="P176" i="1"/>
  <c r="M176" i="1"/>
  <c r="M174" i="1"/>
  <c r="M172" i="1"/>
  <c r="Q171" i="1"/>
  <c r="M171" i="1"/>
  <c r="Q170" i="1"/>
  <c r="P169" i="1"/>
  <c r="M169" i="1"/>
  <c r="N168" i="1"/>
  <c r="M168" i="1"/>
  <c r="N167" i="1"/>
  <c r="M167" i="1"/>
  <c r="Q166" i="1"/>
  <c r="Q165" i="1"/>
  <c r="Q164" i="1"/>
  <c r="P163" i="1"/>
  <c r="Q163" i="1" s="1"/>
  <c r="Q162" i="1"/>
  <c r="Q161" i="1"/>
  <c r="Q159" i="1"/>
  <c r="M159" i="1"/>
  <c r="N159" i="1" s="1"/>
  <c r="Q158" i="1"/>
  <c r="Q157" i="1"/>
  <c r="N157" i="1"/>
  <c r="M157" i="1"/>
  <c r="M156" i="1"/>
  <c r="Q155" i="1"/>
  <c r="Q154" i="1"/>
  <c r="Q153" i="1"/>
  <c r="M153" i="1"/>
  <c r="Q152" i="1"/>
  <c r="Q151" i="1"/>
  <c r="Q150" i="1"/>
  <c r="Q149" i="1"/>
  <c r="M149" i="1"/>
  <c r="Q147" i="1"/>
  <c r="Q146" i="1"/>
  <c r="Q145" i="1"/>
  <c r="Q144" i="1"/>
  <c r="Q143" i="1"/>
  <c r="Q142" i="1"/>
  <c r="Q141" i="1"/>
  <c r="N141" i="1"/>
  <c r="Q139" i="1"/>
  <c r="Q137" i="1"/>
  <c r="M137" i="1"/>
  <c r="Q135" i="1"/>
  <c r="Q133" i="1"/>
  <c r="N131" i="1"/>
  <c r="M131" i="1"/>
  <c r="M115" i="1"/>
  <c r="M114" i="1"/>
  <c r="M113" i="1"/>
  <c r="Q112" i="1"/>
  <c r="M112" i="1"/>
  <c r="M111" i="1"/>
  <c r="M110" i="1"/>
  <c r="M109" i="1"/>
  <c r="Q108" i="1"/>
  <c r="N108" i="1"/>
  <c r="M108" i="1"/>
  <c r="Q107" i="1"/>
  <c r="M107" i="1"/>
  <c r="Q106" i="1"/>
  <c r="N106" i="1"/>
  <c r="M106" i="1"/>
  <c r="Q105" i="1"/>
  <c r="M105" i="1"/>
  <c r="M104" i="1"/>
  <c r="M103" i="1"/>
  <c r="M102" i="1"/>
  <c r="Q101" i="1"/>
  <c r="M101" i="1"/>
  <c r="Q100" i="1"/>
  <c r="N100" i="1"/>
  <c r="M100" i="1"/>
  <c r="Q99" i="1"/>
  <c r="N99" i="1"/>
  <c r="M99" i="1"/>
  <c r="Q98" i="1"/>
  <c r="N98" i="1"/>
  <c r="M98" i="1"/>
  <c r="Q97" i="1"/>
  <c r="N97" i="1"/>
  <c r="M97" i="1"/>
  <c r="Q96" i="1"/>
  <c r="N96" i="1"/>
  <c r="M96" i="1"/>
  <c r="Q94" i="1"/>
  <c r="M94" i="1"/>
  <c r="N94" i="1" s="1"/>
  <c r="Q93" i="1"/>
  <c r="M93" i="1"/>
  <c r="M92" i="1"/>
  <c r="M91" i="1"/>
  <c r="M90" i="1"/>
  <c r="M89" i="1"/>
  <c r="M88" i="1"/>
  <c r="M87" i="1"/>
  <c r="Q86" i="1"/>
  <c r="M86" i="1"/>
  <c r="M85" i="1"/>
  <c r="Q84" i="1"/>
  <c r="M84" i="1"/>
  <c r="M83" i="1"/>
  <c r="M81" i="1"/>
  <c r="M79" i="1"/>
  <c r="M78" i="1"/>
  <c r="Q77" i="1"/>
  <c r="M77" i="1"/>
  <c r="Q76" i="1"/>
  <c r="N76" i="1"/>
  <c r="M76" i="1"/>
  <c r="Q75" i="1"/>
  <c r="Q74" i="1"/>
  <c r="Q73" i="1"/>
  <c r="Q72" i="1"/>
  <c r="M72" i="1"/>
  <c r="Q71" i="1"/>
  <c r="Q70" i="1"/>
  <c r="Q69" i="1"/>
  <c r="Q67" i="1"/>
  <c r="Q66" i="1"/>
  <c r="Q65" i="1"/>
  <c r="Q64" i="1"/>
  <c r="M64" i="1"/>
  <c r="Q63" i="1"/>
  <c r="Q62" i="1"/>
  <c r="Q61" i="1"/>
  <c r="M61" i="1"/>
  <c r="Q60" i="1"/>
  <c r="M60" i="1"/>
  <c r="Q59" i="1"/>
  <c r="M59" i="1"/>
  <c r="Q58" i="1"/>
  <c r="Q57" i="1"/>
  <c r="M57" i="1"/>
  <c r="Q56" i="1"/>
  <c r="M56" i="1"/>
  <c r="Q54" i="1"/>
  <c r="N54" i="1"/>
  <c r="M53" i="1"/>
  <c r="M52" i="1"/>
  <c r="Q50" i="1"/>
  <c r="M50" i="1"/>
  <c r="Q48" i="1"/>
  <c r="M48" i="1"/>
  <c r="N48" i="1" s="1"/>
  <c r="M47" i="1"/>
  <c r="M45" i="1"/>
  <c r="Q44" i="1"/>
  <c r="N44" i="1"/>
  <c r="M44" i="1"/>
  <c r="Q43" i="1"/>
  <c r="M42" i="1"/>
  <c r="Q41" i="1"/>
  <c r="Q40" i="1"/>
  <c r="M38" i="1"/>
  <c r="Q37" i="1"/>
  <c r="Q35" i="1"/>
  <c r="M35" i="1"/>
  <c r="Q34" i="1"/>
  <c r="Q32" i="1"/>
  <c r="Q31" i="1"/>
  <c r="Q30" i="1"/>
  <c r="Q29" i="1"/>
  <c r="N29" i="1"/>
  <c r="Q27" i="1"/>
  <c r="Q23" i="1"/>
  <c r="N23" i="1"/>
  <c r="Q22" i="1"/>
  <c r="Q21" i="1"/>
  <c r="Q20" i="1"/>
  <c r="M20" i="1"/>
  <c r="M19" i="1"/>
  <c r="M17" i="1"/>
  <c r="Q16" i="1"/>
  <c r="M16" i="1"/>
  <c r="Q15" i="1"/>
  <c r="N15" i="1"/>
  <c r="M15" i="1"/>
  <c r="Q14" i="1"/>
  <c r="N14" i="1"/>
  <c r="M14" i="1"/>
  <c r="Q13" i="1"/>
  <c r="N13" i="1"/>
  <c r="M13" i="1"/>
  <c r="P9" i="1"/>
  <c r="Q9" i="1" s="1"/>
  <c r="M9" i="1"/>
  <c r="N16" i="1" l="1"/>
  <c r="N50" i="1"/>
  <c r="N84" i="1"/>
  <c r="N109" i="1"/>
  <c r="N101" i="1"/>
  <c r="N113" i="1"/>
  <c r="N8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BOUBY</author>
    <author>USUARIO</author>
    <author>Uribe, Vanessa</author>
  </authors>
  <commentList>
    <comment ref="O9" authorId="0" shapeId="0" xr:uid="{00000000-0006-0000-0100-000001000000}">
      <text>
        <r>
          <rPr>
            <b/>
            <sz val="9"/>
            <color indexed="81"/>
            <rFont val="Tahoma"/>
            <family val="2"/>
          </rPr>
          <t>Dato de operaciones
(A espera de su confirmación)</t>
        </r>
      </text>
    </comment>
    <comment ref="P9" authorId="0" shapeId="0" xr:uid="{00000000-0006-0000-0100-000002000000}">
      <text>
        <r>
          <rPr>
            <b/>
            <sz val="9"/>
            <color indexed="81"/>
            <rFont val="Tahoma"/>
            <family val="2"/>
          </rPr>
          <t>Dato de Operaciones
(Plazo 12 meses)</t>
        </r>
      </text>
    </comment>
    <comment ref="Q9" authorId="0" shapeId="0" xr:uid="{00000000-0006-0000-0100-000003000000}">
      <text>
        <r>
          <rPr>
            <b/>
            <sz val="9"/>
            <color indexed="81"/>
            <rFont val="Tahoma"/>
            <family val="2"/>
          </rPr>
          <t xml:space="preserve">Plazo:
</t>
        </r>
        <r>
          <rPr>
            <sz val="9"/>
            <color indexed="81"/>
            <rFont val="Tahoma"/>
            <family val="2"/>
          </rPr>
          <t>120 DIAS (Perfil) + 10 DIAS (Ejecución)
Plazo oficial: 12 meses</t>
        </r>
      </text>
    </comment>
    <comment ref="O11" authorId="0" shapeId="0" xr:uid="{00000000-0006-0000-0100-000004000000}">
      <text>
        <r>
          <rPr>
            <b/>
            <sz val="9"/>
            <color indexed="81"/>
            <rFont val="Tahoma"/>
            <family val="2"/>
          </rPr>
          <t>Según Residente de Proyecto</t>
        </r>
      </text>
    </comment>
    <comment ref="P11" authorId="0" shapeId="0" xr:uid="{00000000-0006-0000-0100-000005000000}">
      <text>
        <r>
          <rPr>
            <sz val="9"/>
            <color indexed="81"/>
            <rFont val="Tahoma"/>
            <family val="2"/>
          </rPr>
          <t xml:space="preserve">El cieere se realizó despues de una etapa de stand by por Pandemia. </t>
        </r>
      </text>
    </comment>
    <comment ref="L12" authorId="1" shapeId="0" xr:uid="{00000000-0006-0000-0100-000006000000}">
      <text>
        <r>
          <rPr>
            <b/>
            <sz val="9"/>
            <color indexed="81"/>
            <rFont val="Tahoma"/>
            <family val="2"/>
          </rPr>
          <t>No figura en doc. Sustento.</t>
        </r>
      </text>
    </comment>
    <comment ref="M12" authorId="1" shapeId="0" xr:uid="{00000000-0006-0000-0100-000007000000}">
      <text>
        <r>
          <rPr>
            <b/>
            <sz val="9"/>
            <color indexed="81"/>
            <rFont val="Tahoma"/>
            <family val="2"/>
          </rPr>
          <t>No figura en doc. Sustento.</t>
        </r>
      </text>
    </comment>
    <comment ref="N12" authorId="1" shapeId="0" xr:uid="{00000000-0006-0000-0100-000008000000}">
      <text>
        <r>
          <rPr>
            <b/>
            <sz val="9"/>
            <color indexed="81"/>
            <rFont val="Tahoma"/>
            <family val="2"/>
          </rPr>
          <t>No figura en doc. Sustento.</t>
        </r>
      </text>
    </comment>
    <comment ref="O12" authorId="1" shapeId="0" xr:uid="{00000000-0006-0000-0100-000009000000}">
      <text>
        <r>
          <rPr>
            <b/>
            <sz val="9"/>
            <color indexed="81"/>
            <rFont val="Tahoma"/>
            <family val="2"/>
          </rPr>
          <t>Se asume fecha de firma de Contrato como fecha de Inicio.</t>
        </r>
      </text>
    </comment>
    <comment ref="Q12" authorId="1" shapeId="0" xr:uid="{00000000-0006-0000-0100-00000A000000}">
      <text>
        <r>
          <rPr>
            <b/>
            <sz val="9"/>
            <color indexed="81"/>
            <rFont val="Tahoma"/>
            <family val="2"/>
          </rPr>
          <t>No figura en doc. Sustento.</t>
        </r>
      </text>
    </comment>
    <comment ref="O13" authorId="1" shapeId="0" xr:uid="{00000000-0006-0000-0100-00000B000000}">
      <text>
        <r>
          <rPr>
            <b/>
            <sz val="9"/>
            <color indexed="81"/>
            <rFont val="Tahoma"/>
            <family val="2"/>
          </rPr>
          <t>Se asume fehca de firma de Contrato como fecha de Inicio
(Contrato solo menciona el plazo = 225 dias).</t>
        </r>
      </text>
    </comment>
    <comment ref="P13" authorId="1" shapeId="0" xr:uid="{00000000-0006-0000-0100-00000C000000}">
      <text>
        <r>
          <rPr>
            <b/>
            <sz val="9"/>
            <color indexed="81"/>
            <rFont val="Tahoma"/>
            <family val="2"/>
          </rPr>
          <t>Se asume esta fecha de fin, para que sume con el plazo estipulado.
(Contrato solo menciona el plazo = 225 dias).</t>
        </r>
      </text>
    </comment>
    <comment ref="O14" authorId="1" shapeId="0" xr:uid="{00000000-0006-0000-0100-00000D000000}">
      <text>
        <r>
          <rPr>
            <b/>
            <sz val="9"/>
            <color indexed="81"/>
            <rFont val="Tahoma"/>
            <family val="2"/>
          </rPr>
          <t>Se asume fehca de firma de Contrato como fecha de Inicio
(Contrato solo menciona el plazo = 225 dias).</t>
        </r>
      </text>
    </comment>
    <comment ref="P14" authorId="1" shapeId="0" xr:uid="{00000000-0006-0000-0100-00000E000000}">
      <text>
        <r>
          <rPr>
            <b/>
            <sz val="9"/>
            <color indexed="81"/>
            <rFont val="Tahoma"/>
            <family val="2"/>
          </rPr>
          <t>Se asume esta fecha de fin, para que sume con el plazo estipulado.
(Contrato solo menciona el plazo = 225 dias).</t>
        </r>
      </text>
    </comment>
    <comment ref="K31" authorId="0" shapeId="0" xr:uid="{00000000-0006-0000-0100-00000F000000}">
      <text>
        <r>
          <rPr>
            <b/>
            <sz val="9"/>
            <color indexed="81"/>
            <rFont val="Tahoma"/>
            <family val="2"/>
          </rPr>
          <t xml:space="preserve">Se asume (sustento no precisa este dato)
</t>
        </r>
      </text>
    </comment>
    <comment ref="H34" authorId="1" shapeId="0" xr:uid="{00000000-0006-0000-0100-000010000000}">
      <text>
        <r>
          <rPr>
            <b/>
            <sz val="9"/>
            <color indexed="81"/>
            <rFont val="Tahoma"/>
            <family val="2"/>
          </rPr>
          <t>Espinar y Marquiri estan en CUZCO.</t>
        </r>
      </text>
    </comment>
    <comment ref="N34" authorId="0" shapeId="0" xr:uid="{00000000-0006-0000-0100-000011000000}">
      <text>
        <r>
          <rPr>
            <b/>
            <sz val="9"/>
            <color indexed="81"/>
            <rFont val="Tahoma"/>
            <family val="2"/>
          </rPr>
          <t>Dejarlo así (es un servivio dentro de otro contrato).</t>
        </r>
      </text>
    </comment>
    <comment ref="Q34" authorId="1" shapeId="0" xr:uid="{00000000-0006-0000-0100-000012000000}">
      <text>
        <r>
          <rPr>
            <b/>
            <sz val="9"/>
            <color indexed="81"/>
            <rFont val="Tahoma"/>
            <family val="2"/>
          </rPr>
          <t>Plazo contractual:
2 meses</t>
        </r>
      </text>
    </comment>
    <comment ref="H35" authorId="1" shapeId="0" xr:uid="{00000000-0006-0000-0100-000013000000}">
      <text>
        <r>
          <rPr>
            <b/>
            <sz val="9"/>
            <color indexed="81"/>
            <rFont val="Tahoma"/>
            <family val="2"/>
          </rPr>
          <t>Antapaccay y Espinar estan en CUZCO.</t>
        </r>
      </text>
    </comment>
    <comment ref="Q35" authorId="1" shapeId="0" xr:uid="{00000000-0006-0000-0100-000014000000}">
      <text>
        <r>
          <rPr>
            <b/>
            <sz val="9"/>
            <color indexed="81"/>
            <rFont val="Tahoma"/>
            <family val="2"/>
          </rPr>
          <t>Plazo contractual: 
1 año</t>
        </r>
      </text>
    </comment>
    <comment ref="O37" authorId="1" shapeId="0" xr:uid="{00000000-0006-0000-0100-000015000000}">
      <text>
        <r>
          <rPr>
            <b/>
            <sz val="9"/>
            <color indexed="81"/>
            <rFont val="Tahoma"/>
            <family val="2"/>
          </rPr>
          <t>Extraída de Cronograma Contractual</t>
        </r>
      </text>
    </comment>
    <comment ref="P37" authorId="1" shapeId="0" xr:uid="{00000000-0006-0000-0100-000016000000}">
      <text>
        <r>
          <rPr>
            <b/>
            <sz val="9"/>
            <color indexed="81"/>
            <rFont val="Tahoma"/>
            <family val="2"/>
          </rPr>
          <t>Fecha límite contractual, para terminar los trabajos.</t>
        </r>
      </text>
    </comment>
    <comment ref="Q37" authorId="1" shapeId="0" xr:uid="{00000000-0006-0000-0100-000017000000}">
      <text>
        <r>
          <rPr>
            <b/>
            <sz val="9"/>
            <color indexed="81"/>
            <rFont val="Tahoma"/>
            <family val="2"/>
          </rPr>
          <t>Extraído de Cronograma Contractual</t>
        </r>
      </text>
    </comment>
    <comment ref="O40" authorId="0" shapeId="0" xr:uid="{00000000-0006-0000-0100-000018000000}">
      <text>
        <r>
          <rPr>
            <b/>
            <sz val="9"/>
            <color indexed="81"/>
            <rFont val="Tahoma"/>
            <family val="2"/>
          </rPr>
          <t>Inicio según "Cronograma" contractual.</t>
        </r>
      </text>
    </comment>
    <comment ref="Q40" authorId="0" shapeId="0" xr:uid="{00000000-0006-0000-0100-000019000000}">
      <text>
        <r>
          <rPr>
            <b/>
            <sz val="9"/>
            <color indexed="81"/>
            <rFont val="Tahoma"/>
            <family val="2"/>
          </rPr>
          <t>Plazo contractual:
30 días</t>
        </r>
      </text>
    </comment>
    <comment ref="P41" authorId="1" shapeId="0" xr:uid="{00000000-0006-0000-0100-00001A000000}">
      <text>
        <r>
          <rPr>
            <b/>
            <sz val="9"/>
            <color indexed="81"/>
            <rFont val="Tahoma"/>
            <family val="2"/>
          </rPr>
          <t>Fecha de fin (según Acta de Entrega de Obra).</t>
        </r>
      </text>
    </comment>
    <comment ref="Q41" authorId="0" shapeId="0" xr:uid="{00000000-0006-0000-0100-00001B000000}">
      <text>
        <r>
          <rPr>
            <b/>
            <sz val="9"/>
            <color indexed="81"/>
            <rFont val="Tahoma"/>
            <family val="2"/>
          </rPr>
          <t>Plazo contractual (según Adenda 4).</t>
        </r>
      </text>
    </comment>
    <comment ref="O43" authorId="1" shapeId="0" xr:uid="{00000000-0006-0000-0100-00001C000000}">
      <text>
        <r>
          <rPr>
            <b/>
            <sz val="9"/>
            <color indexed="81"/>
            <rFont val="Tahoma"/>
            <family val="2"/>
          </rPr>
          <t>Dato de ADM. &amp; FINANZAS (no es de doc. Firado).</t>
        </r>
      </text>
    </comment>
    <comment ref="P43" authorId="1" shapeId="0" xr:uid="{00000000-0006-0000-0100-00001D000000}">
      <text>
        <r>
          <rPr>
            <b/>
            <sz val="9"/>
            <color indexed="81"/>
            <rFont val="Tahoma"/>
            <family val="2"/>
          </rPr>
          <t>Dato de ADM. &amp; FINANZAS (no es de doc. Firado).</t>
        </r>
      </text>
    </comment>
    <comment ref="Q43" authorId="1" shapeId="0" xr:uid="{00000000-0006-0000-0100-00001E000000}">
      <text>
        <r>
          <rPr>
            <b/>
            <sz val="9"/>
            <color indexed="81"/>
            <rFont val="Tahoma"/>
            <family val="2"/>
          </rPr>
          <t>Plazo contractual:
2 meses</t>
        </r>
      </text>
    </comment>
    <comment ref="N44" authorId="0" shapeId="0" xr:uid="{00000000-0006-0000-0100-00001F000000}">
      <text>
        <r>
          <rPr>
            <b/>
            <sz val="9"/>
            <color indexed="81"/>
            <rFont val="Tahoma"/>
            <family val="2"/>
          </rPr>
          <t>Según "Acta de Recepción de Obra"
(Si fuera en base a los Contratos, sería menos este total.)</t>
        </r>
      </text>
    </comment>
    <comment ref="O56" authorId="0" shapeId="0" xr:uid="{00000000-0006-0000-0100-000020000000}">
      <text>
        <r>
          <rPr>
            <b/>
            <sz val="9"/>
            <color indexed="81"/>
            <rFont val="Tahoma"/>
            <family val="2"/>
          </rPr>
          <t>Fecha de emisión de OC</t>
        </r>
      </text>
    </comment>
    <comment ref="P56" authorId="0" shapeId="0" xr:uid="{00000000-0006-0000-0100-000021000000}">
      <text>
        <r>
          <rPr>
            <b/>
            <sz val="9"/>
            <color indexed="81"/>
            <rFont val="Tahoma"/>
            <family val="2"/>
          </rPr>
          <t>Esta es la "Fecha de entrega" precisada en la OC.</t>
        </r>
      </text>
    </comment>
    <comment ref="O57" authorId="0" shapeId="0" xr:uid="{00000000-0006-0000-0100-000022000000}">
      <text>
        <r>
          <rPr>
            <b/>
            <sz val="9"/>
            <color indexed="81"/>
            <rFont val="Tahoma"/>
            <family val="2"/>
          </rPr>
          <t>Fecha de emisión de OC</t>
        </r>
      </text>
    </comment>
    <comment ref="P57" authorId="0" shapeId="0" xr:uid="{00000000-0006-0000-0100-000023000000}">
      <text>
        <r>
          <rPr>
            <b/>
            <sz val="9"/>
            <color indexed="81"/>
            <rFont val="Tahoma"/>
            <family val="2"/>
          </rPr>
          <t>Esta es la "Fecha de entrega" precisada en la OC.</t>
        </r>
      </text>
    </comment>
    <comment ref="O58" authorId="0" shapeId="0" xr:uid="{00000000-0006-0000-0100-000024000000}">
      <text>
        <r>
          <rPr>
            <b/>
            <sz val="9"/>
            <color indexed="81"/>
            <rFont val="Tahoma"/>
            <family val="2"/>
          </rPr>
          <t>Fecha de emisión de OC</t>
        </r>
      </text>
    </comment>
    <comment ref="P58" authorId="0" shapeId="0" xr:uid="{00000000-0006-0000-0100-000025000000}">
      <text>
        <r>
          <rPr>
            <b/>
            <sz val="9"/>
            <color indexed="81"/>
            <rFont val="Tahoma"/>
            <family val="2"/>
          </rPr>
          <t>Esta es la "Fecha de entrega" precisada en la OC.</t>
        </r>
      </text>
    </comment>
    <comment ref="O59" authorId="0" shapeId="0" xr:uid="{00000000-0006-0000-0100-000026000000}">
      <text>
        <r>
          <rPr>
            <b/>
            <sz val="9"/>
            <color indexed="81"/>
            <rFont val="Tahoma"/>
            <family val="2"/>
          </rPr>
          <t>Fecha de emisión de OC</t>
        </r>
      </text>
    </comment>
    <comment ref="P59" authorId="0" shapeId="0" xr:uid="{00000000-0006-0000-0100-000027000000}">
      <text>
        <r>
          <rPr>
            <b/>
            <sz val="9"/>
            <color indexed="81"/>
            <rFont val="Tahoma"/>
            <family val="2"/>
          </rPr>
          <t>Esta es la "Fecha de entrega" precisada en la OC.</t>
        </r>
      </text>
    </comment>
    <comment ref="O60" authorId="0" shapeId="0" xr:uid="{00000000-0006-0000-0100-000028000000}">
      <text>
        <r>
          <rPr>
            <b/>
            <sz val="9"/>
            <color indexed="81"/>
            <rFont val="Tahoma"/>
            <family val="2"/>
          </rPr>
          <t>Fecha de emisión de OC</t>
        </r>
      </text>
    </comment>
    <comment ref="P60" authorId="0" shapeId="0" xr:uid="{00000000-0006-0000-0100-000029000000}">
      <text>
        <r>
          <rPr>
            <b/>
            <sz val="9"/>
            <color indexed="81"/>
            <rFont val="Tahoma"/>
            <family val="2"/>
          </rPr>
          <t>Esta es la "Fecha de entrega" precisada en la OC.</t>
        </r>
      </text>
    </comment>
    <comment ref="O61" authorId="0" shapeId="0" xr:uid="{00000000-0006-0000-0100-00002A000000}">
      <text>
        <r>
          <rPr>
            <b/>
            <sz val="9"/>
            <color indexed="81"/>
            <rFont val="Tahoma"/>
            <family val="2"/>
          </rPr>
          <t>Fecha de emisión de OC</t>
        </r>
      </text>
    </comment>
    <comment ref="P61" authorId="0" shapeId="0" xr:uid="{00000000-0006-0000-0100-00002B000000}">
      <text>
        <r>
          <rPr>
            <b/>
            <sz val="9"/>
            <color indexed="81"/>
            <rFont val="Tahoma"/>
            <family val="2"/>
          </rPr>
          <t>Esta es la "Fecha de entrega" precisada en la OC.</t>
        </r>
      </text>
    </comment>
    <comment ref="O62" authorId="0" shapeId="0" xr:uid="{00000000-0006-0000-0100-00002C000000}">
      <text>
        <r>
          <rPr>
            <b/>
            <sz val="9"/>
            <color indexed="81"/>
            <rFont val="Tahoma"/>
            <family val="2"/>
          </rPr>
          <t>Fecha de emisión de OC</t>
        </r>
      </text>
    </comment>
    <comment ref="P62" authorId="0" shapeId="0" xr:uid="{00000000-0006-0000-0100-00002D000000}">
      <text>
        <r>
          <rPr>
            <b/>
            <sz val="9"/>
            <color indexed="81"/>
            <rFont val="Tahoma"/>
            <family val="2"/>
          </rPr>
          <t>Esta es la "Fecha de entrega" precisada en la OC.</t>
        </r>
      </text>
    </comment>
    <comment ref="O63" authorId="0" shapeId="0" xr:uid="{00000000-0006-0000-0100-00002E000000}">
      <text>
        <r>
          <rPr>
            <b/>
            <sz val="9"/>
            <color indexed="81"/>
            <rFont val="Tahoma"/>
            <family val="2"/>
          </rPr>
          <t>Fecha de emisión de OC</t>
        </r>
      </text>
    </comment>
    <comment ref="P63" authorId="0" shapeId="0" xr:uid="{00000000-0006-0000-0100-00002F000000}">
      <text>
        <r>
          <rPr>
            <b/>
            <sz val="9"/>
            <color indexed="81"/>
            <rFont val="Tahoma"/>
            <family val="2"/>
          </rPr>
          <t>Esta es la "Fecha de entrega" precisada en la OC.</t>
        </r>
      </text>
    </comment>
    <comment ref="O64" authorId="0" shapeId="0" xr:uid="{00000000-0006-0000-0100-000030000000}">
      <text>
        <r>
          <rPr>
            <b/>
            <sz val="9"/>
            <color indexed="81"/>
            <rFont val="Tahoma"/>
            <family val="2"/>
          </rPr>
          <t>Fecha de emisión de OC</t>
        </r>
      </text>
    </comment>
    <comment ref="P64" authorId="0" shapeId="0" xr:uid="{00000000-0006-0000-0100-000031000000}">
      <text>
        <r>
          <rPr>
            <b/>
            <sz val="9"/>
            <color indexed="81"/>
            <rFont val="Tahoma"/>
            <family val="2"/>
          </rPr>
          <t>Esta es la "Fecha de entrega" precisada en la OC.</t>
        </r>
      </text>
    </comment>
    <comment ref="O65" authorId="0" shapeId="0" xr:uid="{00000000-0006-0000-0100-000032000000}">
      <text>
        <r>
          <rPr>
            <b/>
            <sz val="9"/>
            <color indexed="81"/>
            <rFont val="Tahoma"/>
            <family val="2"/>
          </rPr>
          <t>Fecha de emisión de OC</t>
        </r>
      </text>
    </comment>
    <comment ref="P65" authorId="0" shapeId="0" xr:uid="{00000000-0006-0000-0100-000033000000}">
      <text>
        <r>
          <rPr>
            <b/>
            <sz val="9"/>
            <color indexed="81"/>
            <rFont val="Tahoma"/>
            <family val="2"/>
          </rPr>
          <t>Esta es la "Fecha de entrega" precisada en la OC.</t>
        </r>
      </text>
    </comment>
    <comment ref="O66" authorId="0" shapeId="0" xr:uid="{00000000-0006-0000-0100-000034000000}">
      <text>
        <r>
          <rPr>
            <b/>
            <sz val="9"/>
            <color indexed="81"/>
            <rFont val="Tahoma"/>
            <family val="2"/>
          </rPr>
          <t>Fecha de emisión de OC</t>
        </r>
      </text>
    </comment>
    <comment ref="P66" authorId="0" shapeId="0" xr:uid="{00000000-0006-0000-0100-000035000000}">
      <text>
        <r>
          <rPr>
            <b/>
            <sz val="9"/>
            <color indexed="81"/>
            <rFont val="Tahoma"/>
            <family val="2"/>
          </rPr>
          <t>Esta es la "Fecha de entrega" precisada en la OC.</t>
        </r>
      </text>
    </comment>
    <comment ref="O67" authorId="0" shapeId="0" xr:uid="{00000000-0006-0000-0100-000036000000}">
      <text>
        <r>
          <rPr>
            <b/>
            <sz val="9"/>
            <color indexed="81"/>
            <rFont val="Tahoma"/>
            <family val="2"/>
          </rPr>
          <t>Fecha de emisión de OC</t>
        </r>
      </text>
    </comment>
    <comment ref="P67" authorId="0" shapeId="0" xr:uid="{00000000-0006-0000-0100-000037000000}">
      <text>
        <r>
          <rPr>
            <b/>
            <sz val="9"/>
            <color indexed="81"/>
            <rFont val="Tahoma"/>
            <family val="2"/>
          </rPr>
          <t>Esta es la "Fecha de entrega" precisada en la OC.</t>
        </r>
      </text>
    </comment>
    <comment ref="O69" authorId="0" shapeId="0" xr:uid="{00000000-0006-0000-0100-000038000000}">
      <text>
        <r>
          <rPr>
            <b/>
            <sz val="9"/>
            <color indexed="81"/>
            <rFont val="Tahoma"/>
            <family val="2"/>
          </rPr>
          <t>Fecha de emisión de OC</t>
        </r>
      </text>
    </comment>
    <comment ref="P69" authorId="0" shapeId="0" xr:uid="{00000000-0006-0000-0100-000039000000}">
      <text>
        <r>
          <rPr>
            <b/>
            <sz val="9"/>
            <color indexed="81"/>
            <rFont val="Tahoma"/>
            <family val="2"/>
          </rPr>
          <t>Esta es la "Fecha de entrega" precisada en la OC.</t>
        </r>
      </text>
    </comment>
    <comment ref="O70" authorId="0" shapeId="0" xr:uid="{00000000-0006-0000-0100-00003A000000}">
      <text>
        <r>
          <rPr>
            <b/>
            <sz val="9"/>
            <color indexed="81"/>
            <rFont val="Tahoma"/>
            <family val="2"/>
          </rPr>
          <t>Fecha de emisión de OC</t>
        </r>
      </text>
    </comment>
    <comment ref="P70" authorId="0" shapeId="0" xr:uid="{00000000-0006-0000-0100-00003B000000}">
      <text>
        <r>
          <rPr>
            <b/>
            <sz val="9"/>
            <color indexed="81"/>
            <rFont val="Tahoma"/>
            <family val="2"/>
          </rPr>
          <t>Esta es la "Fecha de entrega" precisada en la OC.</t>
        </r>
      </text>
    </comment>
    <comment ref="O71" authorId="0" shapeId="0" xr:uid="{00000000-0006-0000-0100-00003C000000}">
      <text>
        <r>
          <rPr>
            <b/>
            <sz val="9"/>
            <color indexed="81"/>
            <rFont val="Tahoma"/>
            <family val="2"/>
          </rPr>
          <t>Fecha de emisión de OC</t>
        </r>
      </text>
    </comment>
    <comment ref="P71" authorId="0" shapeId="0" xr:uid="{00000000-0006-0000-0100-00003D000000}">
      <text>
        <r>
          <rPr>
            <b/>
            <sz val="9"/>
            <color indexed="81"/>
            <rFont val="Tahoma"/>
            <family val="2"/>
          </rPr>
          <t>Esta es la "Fecha de entrega" precisada en la OC.</t>
        </r>
      </text>
    </comment>
    <comment ref="O72" authorId="0" shapeId="0" xr:uid="{00000000-0006-0000-0100-00003E000000}">
      <text>
        <r>
          <rPr>
            <b/>
            <sz val="9"/>
            <color indexed="81"/>
            <rFont val="Tahoma"/>
            <family val="2"/>
          </rPr>
          <t>Fecha de emisión de OC</t>
        </r>
      </text>
    </comment>
    <comment ref="P72" authorId="0" shapeId="0" xr:uid="{00000000-0006-0000-0100-00003F000000}">
      <text>
        <r>
          <rPr>
            <b/>
            <sz val="9"/>
            <color indexed="81"/>
            <rFont val="Tahoma"/>
            <family val="2"/>
          </rPr>
          <t>Esta es la "Fecha de entrega" precisada en la OC.</t>
        </r>
      </text>
    </comment>
    <comment ref="O73" authorId="0" shapeId="0" xr:uid="{00000000-0006-0000-0100-000040000000}">
      <text>
        <r>
          <rPr>
            <b/>
            <sz val="9"/>
            <color indexed="81"/>
            <rFont val="Tahoma"/>
            <family val="2"/>
          </rPr>
          <t>Fecha de emisión de OC</t>
        </r>
      </text>
    </comment>
    <comment ref="P73" authorId="0" shapeId="0" xr:uid="{00000000-0006-0000-0100-000041000000}">
      <text>
        <r>
          <rPr>
            <b/>
            <sz val="9"/>
            <color indexed="81"/>
            <rFont val="Tahoma"/>
            <family val="2"/>
          </rPr>
          <t>Esta es la "Fecha de entrega" precisada en la OC.</t>
        </r>
      </text>
    </comment>
    <comment ref="O74" authorId="0" shapeId="0" xr:uid="{00000000-0006-0000-0100-000042000000}">
      <text>
        <r>
          <rPr>
            <b/>
            <sz val="9"/>
            <color indexed="81"/>
            <rFont val="Tahoma"/>
            <family val="2"/>
          </rPr>
          <t>Fecha de emisión de OC</t>
        </r>
      </text>
    </comment>
    <comment ref="P74" authorId="0" shapeId="0" xr:uid="{00000000-0006-0000-0100-000043000000}">
      <text>
        <r>
          <rPr>
            <b/>
            <sz val="9"/>
            <color indexed="81"/>
            <rFont val="Tahoma"/>
            <family val="2"/>
          </rPr>
          <t>Esta es la "Fecha de entrega" precisada en la OC.</t>
        </r>
      </text>
    </comment>
    <comment ref="O75" authorId="0" shapeId="0" xr:uid="{00000000-0006-0000-0100-000044000000}">
      <text>
        <r>
          <rPr>
            <b/>
            <sz val="9"/>
            <color indexed="81"/>
            <rFont val="Tahoma"/>
            <family val="2"/>
          </rPr>
          <t>Fecha de emisión de OC</t>
        </r>
      </text>
    </comment>
    <comment ref="P75" authorId="0" shapeId="0" xr:uid="{00000000-0006-0000-0100-000045000000}">
      <text>
        <r>
          <rPr>
            <b/>
            <sz val="9"/>
            <color indexed="81"/>
            <rFont val="Tahoma"/>
            <family val="2"/>
          </rPr>
          <t>Esta es la "Fecha de entrega" precisada en la OC.</t>
        </r>
      </text>
    </comment>
    <comment ref="Q76" authorId="0" shapeId="0" xr:uid="{00000000-0006-0000-0100-000046000000}">
      <text>
        <r>
          <rPr>
            <b/>
            <sz val="9"/>
            <color indexed="81"/>
            <rFont val="Tahoma"/>
            <family val="2"/>
          </rPr>
          <t xml:space="preserve">Acta de Recepción de Obra: </t>
        </r>
        <r>
          <rPr>
            <sz val="9"/>
            <color indexed="81"/>
            <rFont val="Tahoma"/>
            <family val="2"/>
          </rPr>
          <t>se precisa que el plazo fue de 154 días.</t>
        </r>
      </text>
    </comment>
    <comment ref="Q77" authorId="0" shapeId="0" xr:uid="{00000000-0006-0000-0100-000047000000}">
      <text>
        <r>
          <rPr>
            <b/>
            <sz val="9"/>
            <color indexed="81"/>
            <rFont val="Tahoma"/>
            <family val="2"/>
          </rPr>
          <t>Plazo contractual:
2 años</t>
        </r>
      </text>
    </comment>
    <comment ref="M81" authorId="0" shapeId="0" xr:uid="{00000000-0006-0000-0100-000048000000}">
      <text>
        <r>
          <rPr>
            <b/>
            <sz val="9"/>
            <color indexed="81"/>
            <rFont val="Tahoma"/>
            <family val="2"/>
          </rPr>
          <t>DESCUENTO.</t>
        </r>
      </text>
    </comment>
    <comment ref="K86" authorId="0" shapeId="0" xr:uid="{00000000-0006-0000-0100-000049000000}">
      <text>
        <r>
          <rPr>
            <b/>
            <sz val="9"/>
            <color indexed="81"/>
            <rFont val="Tahoma"/>
            <family val="2"/>
          </rPr>
          <t>ESTÁ EN "ALCANCE DEL SERVICIO"</t>
        </r>
      </text>
    </comment>
    <comment ref="M87" authorId="0" shapeId="0" xr:uid="{00000000-0006-0000-0100-00004A000000}">
      <text>
        <r>
          <rPr>
            <b/>
            <sz val="9"/>
            <color indexed="81"/>
            <rFont val="Tahoma"/>
            <family val="2"/>
          </rPr>
          <t>DESCUENTO.</t>
        </r>
      </text>
    </comment>
    <comment ref="O96" authorId="0" shapeId="0" xr:uid="{00000000-0006-0000-0100-00004B000000}">
      <text>
        <r>
          <rPr>
            <b/>
            <sz val="9"/>
            <color indexed="81"/>
            <rFont val="Tahoma"/>
            <family val="2"/>
          </rPr>
          <t>Fecha de emisión de OC</t>
        </r>
      </text>
    </comment>
    <comment ref="P96" authorId="0" shapeId="0" xr:uid="{00000000-0006-0000-0100-00004C000000}">
      <text>
        <r>
          <rPr>
            <b/>
            <sz val="9"/>
            <color indexed="81"/>
            <rFont val="Tahoma"/>
            <family val="2"/>
          </rPr>
          <t>Esta es la "Fecha de entrega" precisada en la OC.</t>
        </r>
      </text>
    </comment>
    <comment ref="O97" authorId="0" shapeId="0" xr:uid="{00000000-0006-0000-0100-00004D000000}">
      <text>
        <r>
          <rPr>
            <b/>
            <sz val="9"/>
            <color indexed="81"/>
            <rFont val="Tahoma"/>
            <family val="2"/>
          </rPr>
          <t>Fecha de emisión de OC</t>
        </r>
      </text>
    </comment>
    <comment ref="P97" authorId="0" shapeId="0" xr:uid="{00000000-0006-0000-0100-00004E000000}">
      <text>
        <r>
          <rPr>
            <b/>
            <sz val="9"/>
            <color indexed="81"/>
            <rFont val="Tahoma"/>
            <family val="2"/>
          </rPr>
          <t>Esta es la "Fecha de entrega" precisada en la OC.</t>
        </r>
      </text>
    </comment>
    <comment ref="O98" authorId="0" shapeId="0" xr:uid="{00000000-0006-0000-0100-00004F000000}">
      <text>
        <r>
          <rPr>
            <b/>
            <sz val="9"/>
            <color indexed="81"/>
            <rFont val="Tahoma"/>
            <family val="2"/>
          </rPr>
          <t>Fecha de emisión de OC</t>
        </r>
      </text>
    </comment>
    <comment ref="P98" authorId="0" shapeId="0" xr:uid="{00000000-0006-0000-0100-000050000000}">
      <text>
        <r>
          <rPr>
            <b/>
            <sz val="9"/>
            <color indexed="81"/>
            <rFont val="Tahoma"/>
            <family val="2"/>
          </rPr>
          <t>Esta es la "Fecha de entrega" precisada en la OC.</t>
        </r>
      </text>
    </comment>
    <comment ref="O99" authorId="0" shapeId="0" xr:uid="{00000000-0006-0000-0100-000051000000}">
      <text>
        <r>
          <rPr>
            <b/>
            <sz val="9"/>
            <color indexed="81"/>
            <rFont val="Tahoma"/>
            <family val="2"/>
          </rPr>
          <t>Fecha de emisión de OC</t>
        </r>
      </text>
    </comment>
    <comment ref="P99" authorId="0" shapeId="0" xr:uid="{00000000-0006-0000-0100-000052000000}">
      <text>
        <r>
          <rPr>
            <b/>
            <sz val="9"/>
            <color indexed="81"/>
            <rFont val="Tahoma"/>
            <family val="2"/>
          </rPr>
          <t>Esta es la "Fecha de entrega" precisada en la OC.</t>
        </r>
      </text>
    </comment>
    <comment ref="O100" authorId="0" shapeId="0" xr:uid="{00000000-0006-0000-0100-000053000000}">
      <text>
        <r>
          <rPr>
            <b/>
            <sz val="9"/>
            <color indexed="81"/>
            <rFont val="Tahoma"/>
            <family val="2"/>
          </rPr>
          <t>Fecha de emisión de OC</t>
        </r>
      </text>
    </comment>
    <comment ref="P100" authorId="0" shapeId="0" xr:uid="{00000000-0006-0000-0100-000054000000}">
      <text>
        <r>
          <rPr>
            <b/>
            <sz val="9"/>
            <color indexed="81"/>
            <rFont val="Tahoma"/>
            <family val="2"/>
          </rPr>
          <t>Esta es la "Fecha de entrega" precisada en la OC.</t>
        </r>
      </text>
    </comment>
    <comment ref="M106" authorId="0" shapeId="0" xr:uid="{00000000-0006-0000-0100-000055000000}">
      <text>
        <r>
          <rPr>
            <b/>
            <sz val="9"/>
            <color indexed="81"/>
            <rFont val="Tahoma"/>
            <family val="2"/>
          </rPr>
          <t xml:space="preserve">Verificar si es o no con IGV </t>
        </r>
      </text>
    </comment>
    <comment ref="N106" authorId="0" shapeId="0" xr:uid="{00000000-0006-0000-0100-000056000000}">
      <text>
        <r>
          <rPr>
            <b/>
            <sz val="9"/>
            <color indexed="81"/>
            <rFont val="Tahoma"/>
            <family val="2"/>
          </rPr>
          <t>Dato de Finanzas.</t>
        </r>
      </text>
    </comment>
    <comment ref="M107" authorId="0" shapeId="0" xr:uid="{00000000-0006-0000-0100-000057000000}">
      <text>
        <r>
          <rPr>
            <b/>
            <sz val="9"/>
            <color indexed="81"/>
            <rFont val="Tahoma"/>
            <family val="2"/>
          </rPr>
          <t>Por confirmar/validar dato (sustento no muy claro)</t>
        </r>
      </text>
    </comment>
    <comment ref="O109" authorId="0" shapeId="0" xr:uid="{00000000-0006-0000-0100-000058000000}">
      <text>
        <r>
          <rPr>
            <b/>
            <sz val="9"/>
            <color indexed="81"/>
            <rFont val="Tahoma"/>
            <family val="2"/>
          </rPr>
          <t>No hay dato disponible</t>
        </r>
      </text>
    </comment>
    <comment ref="P109" authorId="0" shapeId="0" xr:uid="{00000000-0006-0000-0100-000059000000}">
      <text>
        <r>
          <rPr>
            <b/>
            <sz val="9"/>
            <color indexed="81"/>
            <rFont val="Tahoma"/>
            <family val="2"/>
          </rPr>
          <t>No hay dato disponible</t>
        </r>
      </text>
    </comment>
    <comment ref="O110" authorId="0" shapeId="0" xr:uid="{00000000-0006-0000-0100-00005A000000}">
      <text>
        <r>
          <rPr>
            <b/>
            <sz val="9"/>
            <color indexed="81"/>
            <rFont val="Tahoma"/>
            <family val="2"/>
          </rPr>
          <t>No hay dato disponible</t>
        </r>
      </text>
    </comment>
    <comment ref="P110" authorId="0" shapeId="0" xr:uid="{00000000-0006-0000-0100-00005B000000}">
      <text>
        <r>
          <rPr>
            <b/>
            <sz val="9"/>
            <color indexed="81"/>
            <rFont val="Tahoma"/>
            <family val="2"/>
          </rPr>
          <t>No hay dato disponible</t>
        </r>
      </text>
    </comment>
    <comment ref="M111" authorId="0" shapeId="0" xr:uid="{00000000-0006-0000-0100-00005C000000}">
      <text>
        <r>
          <rPr>
            <b/>
            <sz val="9"/>
            <color indexed="81"/>
            <rFont val="Tahoma"/>
            <family val="2"/>
          </rPr>
          <t>DESCUENTO.</t>
        </r>
      </text>
    </comment>
    <comment ref="O111" authorId="0" shapeId="0" xr:uid="{00000000-0006-0000-0100-00005D000000}">
      <text>
        <r>
          <rPr>
            <b/>
            <sz val="9"/>
            <color indexed="81"/>
            <rFont val="Tahoma"/>
            <family val="2"/>
          </rPr>
          <t>No hay dato disponible</t>
        </r>
      </text>
    </comment>
    <comment ref="P111" authorId="0" shapeId="0" xr:uid="{00000000-0006-0000-0100-00005E000000}">
      <text>
        <r>
          <rPr>
            <b/>
            <sz val="9"/>
            <color indexed="81"/>
            <rFont val="Tahoma"/>
            <family val="2"/>
          </rPr>
          <t>No hay dato disponible</t>
        </r>
      </text>
    </comment>
    <comment ref="O113" authorId="0" shapeId="0" xr:uid="{00000000-0006-0000-0100-00005F000000}">
      <text>
        <r>
          <rPr>
            <b/>
            <sz val="9"/>
            <color indexed="81"/>
            <rFont val="Tahoma"/>
            <family val="2"/>
          </rPr>
          <t>No hay dato disponible</t>
        </r>
      </text>
    </comment>
    <comment ref="P113" authorId="0" shapeId="0" xr:uid="{00000000-0006-0000-0100-000060000000}">
      <text>
        <r>
          <rPr>
            <b/>
            <sz val="9"/>
            <color indexed="81"/>
            <rFont val="Tahoma"/>
            <family val="2"/>
          </rPr>
          <t>No hay dato disponible</t>
        </r>
      </text>
    </comment>
    <comment ref="O114" authorId="0" shapeId="0" xr:uid="{00000000-0006-0000-0100-000061000000}">
      <text>
        <r>
          <rPr>
            <b/>
            <sz val="9"/>
            <color indexed="81"/>
            <rFont val="Tahoma"/>
            <family val="2"/>
          </rPr>
          <t>No hay dato disponible</t>
        </r>
      </text>
    </comment>
    <comment ref="P114" authorId="0" shapeId="0" xr:uid="{00000000-0006-0000-0100-000062000000}">
      <text>
        <r>
          <rPr>
            <b/>
            <sz val="9"/>
            <color indexed="81"/>
            <rFont val="Tahoma"/>
            <family val="2"/>
          </rPr>
          <t>No hay dato disponible</t>
        </r>
      </text>
    </comment>
    <comment ref="O115" authorId="0" shapeId="0" xr:uid="{00000000-0006-0000-0100-000063000000}">
      <text>
        <r>
          <rPr>
            <b/>
            <sz val="9"/>
            <color indexed="81"/>
            <rFont val="Tahoma"/>
            <family val="2"/>
          </rPr>
          <t>No hay dato disponible</t>
        </r>
      </text>
    </comment>
    <comment ref="P115" authorId="0" shapeId="0" xr:uid="{00000000-0006-0000-0100-000064000000}">
      <text>
        <r>
          <rPr>
            <b/>
            <sz val="9"/>
            <color indexed="81"/>
            <rFont val="Tahoma"/>
            <family val="2"/>
          </rPr>
          <t>No hay dato disponible</t>
        </r>
      </text>
    </comment>
    <comment ref="M117" authorId="0" shapeId="0" xr:uid="{00000000-0006-0000-0100-000065000000}">
      <text>
        <r>
          <rPr>
            <b/>
            <sz val="9"/>
            <color indexed="81"/>
            <rFont val="Tahoma"/>
            <family val="2"/>
          </rPr>
          <t xml:space="preserve">Se asume </t>
        </r>
        <r>
          <rPr>
            <sz val="9"/>
            <color indexed="81"/>
            <rFont val="Tahoma"/>
            <family val="2"/>
          </rPr>
          <t>que este monto es SIN IGV.</t>
        </r>
      </text>
    </comment>
    <comment ref="N117" authorId="0" shapeId="0" xr:uid="{00000000-0006-0000-0100-000066000000}">
      <text>
        <r>
          <rPr>
            <b/>
            <sz val="9"/>
            <color indexed="81"/>
            <rFont val="Tahoma"/>
            <family val="2"/>
          </rPr>
          <t xml:space="preserve">Se asume </t>
        </r>
        <r>
          <rPr>
            <sz val="9"/>
            <color indexed="81"/>
            <rFont val="Tahoma"/>
            <family val="2"/>
          </rPr>
          <t>que este monto es SIN IGV.</t>
        </r>
      </text>
    </comment>
    <comment ref="M118" authorId="0" shapeId="0" xr:uid="{00000000-0006-0000-0100-000067000000}">
      <text>
        <r>
          <rPr>
            <b/>
            <sz val="9"/>
            <color indexed="81"/>
            <rFont val="Tahoma"/>
            <family val="2"/>
          </rPr>
          <t xml:space="preserve">Se asume </t>
        </r>
        <r>
          <rPr>
            <sz val="9"/>
            <color indexed="81"/>
            <rFont val="Tahoma"/>
            <family val="2"/>
          </rPr>
          <t>que este monto es SIN IGV.</t>
        </r>
      </text>
    </comment>
    <comment ref="N118" authorId="0" shapeId="0" xr:uid="{00000000-0006-0000-0100-000068000000}">
      <text>
        <r>
          <rPr>
            <b/>
            <sz val="9"/>
            <color indexed="81"/>
            <rFont val="Tahoma"/>
            <family val="2"/>
          </rPr>
          <t xml:space="preserve">Se asume </t>
        </r>
        <r>
          <rPr>
            <sz val="9"/>
            <color indexed="81"/>
            <rFont val="Tahoma"/>
            <family val="2"/>
          </rPr>
          <t>que este monto es SIN IGV.</t>
        </r>
      </text>
    </comment>
    <comment ref="N131" authorId="0" shapeId="0" xr:uid="{00000000-0006-0000-0100-000069000000}">
      <text>
        <r>
          <rPr>
            <b/>
            <sz val="9"/>
            <color indexed="81"/>
            <rFont val="Tahoma"/>
            <family val="2"/>
          </rPr>
          <t>Dato de Finanzas.</t>
        </r>
      </text>
    </comment>
    <comment ref="N140" authorId="0" shapeId="0" xr:uid="{00000000-0006-0000-0100-00006A000000}">
      <text>
        <r>
          <rPr>
            <b/>
            <sz val="9"/>
            <color indexed="81"/>
            <rFont val="Tahoma"/>
            <family val="2"/>
          </rPr>
          <t>Dato de Finanzas.
faltan $ 29,293 (sin IGV) que falta todavia facturar</t>
        </r>
      </text>
    </comment>
    <comment ref="O140" authorId="0" shapeId="0" xr:uid="{00000000-0006-0000-0100-00006B000000}">
      <text>
        <r>
          <rPr>
            <b/>
            <sz val="9"/>
            <color indexed="81"/>
            <rFont val="Tahoma"/>
            <family val="2"/>
          </rPr>
          <t>Dato de Finanzas.</t>
        </r>
      </text>
    </comment>
    <comment ref="P140" authorId="0" shapeId="0" xr:uid="{00000000-0006-0000-0100-00006C000000}">
      <text>
        <r>
          <rPr>
            <b/>
            <sz val="9"/>
            <color indexed="81"/>
            <rFont val="Tahoma"/>
            <family val="2"/>
          </rPr>
          <t>Dato de Finanzas.</t>
        </r>
      </text>
    </comment>
    <comment ref="O145" authorId="0" shapeId="0" xr:uid="{00000000-0006-0000-0100-00006D000000}">
      <text>
        <r>
          <rPr>
            <b/>
            <sz val="9"/>
            <color indexed="81"/>
            <rFont val="Tahoma"/>
            <family val="2"/>
          </rPr>
          <t>Dato de operaciones
(A espera de su confirmación)</t>
        </r>
      </text>
    </comment>
    <comment ref="P146" authorId="0" shapeId="0" xr:uid="{00000000-0006-0000-0100-00006E000000}">
      <text>
        <r>
          <rPr>
            <b/>
            <sz val="9"/>
            <color indexed="81"/>
            <rFont val="Tahoma"/>
            <family val="2"/>
          </rPr>
          <t xml:space="preserve">fecha estimada (según proyecto)
</t>
        </r>
      </text>
    </comment>
    <comment ref="Q146" authorId="0" shapeId="0" xr:uid="{00000000-0006-0000-0100-00006F000000}">
      <text>
        <r>
          <rPr>
            <b/>
            <sz val="9"/>
            <color indexed="81"/>
            <rFont val="Tahoma"/>
            <family val="2"/>
          </rPr>
          <t>PEDIR ACTA DE CONFORMIDAD PARA FECHAS Y PLAZO DEFINITIVOS</t>
        </r>
      </text>
    </comment>
    <comment ref="Q147" authorId="1" shapeId="0" xr:uid="{00000000-0006-0000-0100-000070000000}">
      <text>
        <r>
          <rPr>
            <b/>
            <sz val="9"/>
            <color indexed="81"/>
            <rFont val="Tahoma"/>
            <family val="2"/>
          </rPr>
          <t>Plazo contractual:
8 meses</t>
        </r>
      </text>
    </comment>
    <comment ref="M148" authorId="0" shapeId="0" xr:uid="{00000000-0006-0000-0100-000071000000}">
      <text>
        <r>
          <rPr>
            <b/>
            <sz val="9"/>
            <color indexed="81"/>
            <rFont val="Tahoma"/>
            <family val="2"/>
          </rPr>
          <t>Este monto es el que se considera.</t>
        </r>
      </text>
    </comment>
    <comment ref="O149" authorId="1" shapeId="0" xr:uid="{00000000-0006-0000-0100-000072000000}">
      <text>
        <r>
          <rPr>
            <b/>
            <sz val="9"/>
            <color indexed="81"/>
            <rFont val="Tahoma"/>
            <family val="2"/>
          </rPr>
          <t>Vigente al día sgte. De suscripción del Contrato</t>
        </r>
      </text>
    </comment>
    <comment ref="Q149" authorId="1" shapeId="0" xr:uid="{00000000-0006-0000-0100-000073000000}">
      <text>
        <r>
          <rPr>
            <b/>
            <sz val="9"/>
            <color indexed="81"/>
            <rFont val="Tahoma"/>
            <family val="2"/>
          </rPr>
          <t>Plazo contractual:
240 días</t>
        </r>
      </text>
    </comment>
    <comment ref="Q152" authorId="0" shapeId="0" xr:uid="{00000000-0006-0000-0100-000074000000}">
      <text>
        <r>
          <rPr>
            <b/>
            <sz val="9"/>
            <color indexed="81"/>
            <rFont val="Tahoma"/>
            <family val="2"/>
          </rPr>
          <t>Plazo contractual:
3 años</t>
        </r>
      </text>
    </comment>
    <comment ref="M153" authorId="0" shapeId="0" xr:uid="{00000000-0006-0000-0100-000075000000}">
      <text>
        <r>
          <rPr>
            <b/>
            <sz val="9"/>
            <color indexed="81"/>
            <rFont val="Tahoma"/>
            <family val="2"/>
          </rPr>
          <t>De Acta de Conformidad firmada por EL CLIENTE (no aparece este monto en Contrato.)</t>
        </r>
      </text>
    </comment>
    <comment ref="Q153" authorId="0" shapeId="0" xr:uid="{00000000-0006-0000-0100-000076000000}">
      <text>
        <r>
          <rPr>
            <b/>
            <sz val="9"/>
            <color indexed="81"/>
            <rFont val="Tahoma"/>
            <family val="2"/>
          </rPr>
          <t>Plazo contractual:
3 años</t>
        </r>
      </text>
    </comment>
    <comment ref="M154" authorId="0" shapeId="0" xr:uid="{00000000-0006-0000-0100-000077000000}">
      <text>
        <r>
          <rPr>
            <b/>
            <sz val="9"/>
            <color indexed="81"/>
            <rFont val="Tahoma"/>
            <family val="2"/>
          </rPr>
          <t>Tarifas por Alquiler de Equipos Mayores</t>
        </r>
      </text>
    </comment>
    <comment ref="O154" authorId="0" shapeId="0" xr:uid="{00000000-0006-0000-0100-000078000000}">
      <text>
        <r>
          <rPr>
            <b/>
            <sz val="9"/>
            <color indexed="81"/>
            <rFont val="Tahoma"/>
            <family val="2"/>
          </rPr>
          <t>ADENDA 2</t>
        </r>
      </text>
    </comment>
    <comment ref="P154" authorId="0" shapeId="0" xr:uid="{00000000-0006-0000-0100-000079000000}">
      <text>
        <r>
          <rPr>
            <b/>
            <sz val="9"/>
            <color indexed="81"/>
            <rFont val="Tahoma"/>
            <family val="2"/>
          </rPr>
          <t>ADENDA 2</t>
        </r>
      </text>
    </comment>
    <comment ref="I156" authorId="2" shapeId="0" xr:uid="{00000000-0006-0000-0100-00007A000000}">
      <text>
        <r>
          <rPr>
            <sz val="11"/>
            <color indexed="81"/>
            <rFont val="Tahoma"/>
            <family val="2"/>
          </rPr>
          <t>Indicar: Nombre del Archivo, Página, Párrafo y/o Numeral donde se ubica el critetrio solicitado.</t>
        </r>
      </text>
    </comment>
    <comment ref="P156" authorId="1" shapeId="0" xr:uid="{00000000-0006-0000-0100-00007B000000}">
      <text>
        <r>
          <rPr>
            <b/>
            <sz val="9"/>
            <color indexed="81"/>
            <rFont val="Tahoma"/>
            <family val="2"/>
          </rPr>
          <t>Plazo: 
45 días</t>
        </r>
      </text>
    </comment>
    <comment ref="Q157" authorId="0" shapeId="0" xr:uid="{00000000-0006-0000-0100-00007C000000}">
      <text>
        <r>
          <rPr>
            <b/>
            <sz val="9"/>
            <color indexed="81"/>
            <rFont val="Tahoma"/>
            <family val="2"/>
          </rPr>
          <t>Plazo contractual: 217 días.</t>
        </r>
      </text>
    </comment>
    <comment ref="Q158" authorId="0" shapeId="0" xr:uid="{00000000-0006-0000-0100-00007D000000}">
      <text>
        <r>
          <rPr>
            <b/>
            <sz val="9"/>
            <color indexed="81"/>
            <rFont val="Tahoma"/>
            <family val="2"/>
          </rPr>
          <t>Plazo contractual:
13 semanas</t>
        </r>
      </text>
    </comment>
    <comment ref="P162" authorId="1" shapeId="0" xr:uid="{00000000-0006-0000-0100-00007E000000}">
      <text>
        <r>
          <rPr>
            <b/>
            <sz val="9"/>
            <color indexed="81"/>
            <rFont val="Tahoma"/>
            <family val="2"/>
          </rPr>
          <t>Plazo: 
45 días</t>
        </r>
      </text>
    </comment>
    <comment ref="P163" authorId="1" shapeId="0" xr:uid="{00000000-0006-0000-0100-00007F000000}">
      <text>
        <r>
          <rPr>
            <b/>
            <sz val="9"/>
            <color indexed="81"/>
            <rFont val="Tahoma"/>
            <family val="2"/>
          </rPr>
          <t>Plazo:
90 días</t>
        </r>
      </text>
    </comment>
    <comment ref="O169" authorId="0" shapeId="0" xr:uid="{00000000-0006-0000-0100-000080000000}">
      <text>
        <r>
          <rPr>
            <sz val="9"/>
            <color indexed="81"/>
            <rFont val="Tahoma"/>
            <family val="2"/>
          </rPr>
          <t>DATO DE RESIDENTE DE OBRA</t>
        </r>
      </text>
    </comment>
    <comment ref="Q169" authorId="0" shapeId="0" xr:uid="{00000000-0006-0000-0100-000081000000}">
      <text>
        <r>
          <rPr>
            <b/>
            <sz val="9"/>
            <color indexed="81"/>
            <rFont val="Tahoma"/>
            <family val="2"/>
          </rPr>
          <t>Dato de operaciones</t>
        </r>
      </text>
    </comment>
    <comment ref="P171" authorId="0" shapeId="0" xr:uid="{00000000-0006-0000-0100-000082000000}">
      <text>
        <r>
          <rPr>
            <b/>
            <sz val="9"/>
            <color indexed="81"/>
            <rFont val="Tahoma"/>
            <family val="2"/>
          </rPr>
          <t>Dato de operaciones
(A espera de su confirmación)</t>
        </r>
      </text>
    </comment>
    <comment ref="K172" authorId="0" shapeId="0" xr:uid="{00000000-0006-0000-0100-000083000000}">
      <text>
        <r>
          <rPr>
            <b/>
            <sz val="9"/>
            <color indexed="81"/>
            <rFont val="Tahoma"/>
            <family val="2"/>
          </rPr>
          <t>Se asume misma modalidad</t>
        </r>
        <r>
          <rPr>
            <sz val="9"/>
            <color indexed="81"/>
            <rFont val="Tahoma"/>
            <family val="2"/>
          </rPr>
          <t xml:space="preserve">
</t>
        </r>
      </text>
    </comment>
    <comment ref="O177" authorId="0" shapeId="0" xr:uid="{00000000-0006-0000-0100-000084000000}">
      <text>
        <r>
          <rPr>
            <sz val="9"/>
            <color indexed="81"/>
            <rFont val="Tahoma"/>
            <family val="2"/>
          </rPr>
          <t>Fecha de inicio confirmado por el residente</t>
        </r>
      </text>
    </comment>
    <comment ref="P177" authorId="0" shapeId="0" xr:uid="{00000000-0006-0000-0100-000085000000}">
      <text>
        <r>
          <rPr>
            <sz val="9"/>
            <color indexed="81"/>
            <rFont val="Tahoma"/>
            <family val="2"/>
          </rPr>
          <t>Fecha de fin, de acuerdo a acontrato</t>
        </r>
      </text>
    </comment>
  </commentList>
</comments>
</file>

<file path=xl/sharedStrings.xml><?xml version="1.0" encoding="utf-8"?>
<sst xmlns="http://schemas.openxmlformats.org/spreadsheetml/2006/main" count="2514" uniqueCount="843">
  <si>
    <t>LISTA MAESTRA - EXPERIENCIA DEL POSTOR
BOUBY S.A.C.</t>
  </si>
  <si>
    <t>TC =</t>
  </si>
  <si>
    <t>ID</t>
  </si>
  <si>
    <t>PROYECTO</t>
  </si>
  <si>
    <t>SUSTENTO</t>
  </si>
  <si>
    <t>CONTRATO</t>
  </si>
  <si>
    <t>CONSORCIO</t>
  </si>
  <si>
    <t>REFERENCIA DEL CLIENTE</t>
  </si>
  <si>
    <t>Cliente</t>
  </si>
  <si>
    <t>Comentarios relevantes</t>
  </si>
  <si>
    <t>Nombre Contractual de Obra / Servicio</t>
  </si>
  <si>
    <t>Tipo</t>
  </si>
  <si>
    <t>Detalle de actividades</t>
  </si>
  <si>
    <t>Proyecto / Ubicación</t>
  </si>
  <si>
    <t>Doc. existente</t>
  </si>
  <si>
    <t>Nº Contrato / doc. Existente</t>
  </si>
  <si>
    <t>Modalidad de Contratación</t>
  </si>
  <si>
    <t>Moneda de monto contractual</t>
  </si>
  <si>
    <t>Monto contractual,
Sin IGV
(USD $)</t>
  </si>
  <si>
    <t>Monto Facturado,
Sin IGV
(USD $)</t>
  </si>
  <si>
    <t>Fecha Inicio</t>
  </si>
  <si>
    <t>Fecha Fin</t>
  </si>
  <si>
    <t>Plazo contractual
(días)</t>
  </si>
  <si>
    <t>Nombre</t>
  </si>
  <si>
    <t>Socios</t>
  </si>
  <si>
    <t>% Participación</t>
  </si>
  <si>
    <t>Cargo</t>
  </si>
  <si>
    <t>Email</t>
  </si>
  <si>
    <t>Nro. Teléfono / Celular</t>
  </si>
  <si>
    <t>Compañía Minera Antamina S.A.</t>
  </si>
  <si>
    <t>Área Usuaria:
Ministerio de Agricultura y Riego</t>
  </si>
  <si>
    <t>CREACIÓN DEL SERVICIO DE AGUA PARA RIEGO DEL SISTEMA DE RIEGO DE YANACANCHA, CENTRO POBLADO DE EL PORVENIR Y CANCHAPAMPA, DISTRITO DE LLATA – PROVINCIA DE HUAMALÍES – DEPARTAMENTO DE HUÁNUCO</t>
  </si>
  <si>
    <t>Obras Civiles</t>
  </si>
  <si>
    <t xml:space="preserve">Estructuras de Captación
Desarenador
Aforador
Línea de Conducción
Pase Aéreo
Tomas Laterales
Reservorios nocturnos
Estudios adicionales
</t>
  </si>
  <si>
    <t>(Ancash)</t>
  </si>
  <si>
    <t>Carta de Adjudicación
Carta de Propuesta Económica
Contrato Consorcio
Contrato Obra</t>
  </si>
  <si>
    <t>Código Único de Inversión Nº 2416273</t>
  </si>
  <si>
    <t>Obras por Impuestos</t>
  </si>
  <si>
    <t>Soles</t>
  </si>
  <si>
    <t>EN EJECUCIÓN</t>
  </si>
  <si>
    <t>Consorcio BOIC</t>
  </si>
  <si>
    <t>INGENIERÍA DEL CONCRETO Y ALBAÑILERÍA E.I.R.L.</t>
  </si>
  <si>
    <t xml:space="preserve">Julio Escudero /
Teófilo Jaimes </t>
  </si>
  <si>
    <t>No determinado</t>
  </si>
  <si>
    <t>996-837-837 /
942-405-792</t>
  </si>
  <si>
    <t>BOUBY S.A.C.</t>
  </si>
  <si>
    <t>-</t>
  </si>
  <si>
    <t>Ejecución de Obras de Desvío de Sistema de Drenaje en Haul Road Punto G</t>
  </si>
  <si>
    <t>Movimiento de Tierras
Obras Civiles</t>
  </si>
  <si>
    <t>Trabajos Preliminares
Movimiento de Tierras
Obras de Concreto
Obras de Drenaje</t>
  </si>
  <si>
    <t>ANTAMINA
(Ancash)</t>
  </si>
  <si>
    <t>OS</t>
  </si>
  <si>
    <t>S27207</t>
  </si>
  <si>
    <t>Precios Unitarios</t>
  </si>
  <si>
    <t>Dólares</t>
  </si>
  <si>
    <t>133-141</t>
  </si>
  <si>
    <t>N/A</t>
  </si>
  <si>
    <t>Robert Vigo</t>
  </si>
  <si>
    <t>Administrador de Contratos - Proyectos</t>
  </si>
  <si>
    <t>rvigo@antamina.com</t>
  </si>
  <si>
    <t>217-3469 /
996-360-089</t>
  </si>
  <si>
    <t>Área Usuaria:
Municipalidad Distrital de San Marcos</t>
  </si>
  <si>
    <t>a. "Instalación y Mejoramiento del Sistema de Riego Lagunas Pararacancha, Chalhuas y Canal Tingo - Chucchupampa - Runtu, del Centro Poblado de Pajún, distrito de San Marcos, provincia de Huari - Ancash"
b. "Creación y Mejoramiento del Sistema de Riego Infiernillo, Centros Poblados de Carhuayoc, Huaripampa, Opayaco, distrito de San Marcos, provincia de Huari - Ancash"</t>
  </si>
  <si>
    <t xml:space="preserve">Creación, Instalación y Mejoramiento de Sistemas de Riego </t>
  </si>
  <si>
    <t>Adenda al Memorándum de Entendimiento (MdE)
(OxI)</t>
  </si>
  <si>
    <t>Addenda Nº 01 MdE</t>
  </si>
  <si>
    <t>Milton Alva Villacorta /
Darío Zegarra Macchiavello</t>
  </si>
  <si>
    <t>Gerente de Desarrollo Sostenible /
Gerente Senior de Gestión Social</t>
  </si>
  <si>
    <t>Área Usuaria:
Municipalidad Distrital de Pacllón</t>
  </si>
  <si>
    <t>Mejoramiento de la Infraestructura Vial y Peatonal de las Calles del Centro Poblado de Llámac, distrito de Pacllón, provincia de Bolognesi, departamento de Ancash</t>
  </si>
  <si>
    <t>Obras Viales</t>
  </si>
  <si>
    <t>Mejoramiento de Infraestructura Vial y Peatonal urbana</t>
  </si>
  <si>
    <t>Contrato
Certificado de Conformidad de Ejecución de Obras</t>
  </si>
  <si>
    <t>SNIP Nº285736</t>
  </si>
  <si>
    <t>Suma Alzada</t>
  </si>
  <si>
    <t>Ricardo Federico Morel Bosio /
Luis Alva Flores</t>
  </si>
  <si>
    <t>Vicepresidente de Asuntos Corporativos /
Gerente de Relaciones Institucionales</t>
  </si>
  <si>
    <t>Mejoramiento de la Infraestructura Vial y Peatonal de Pacllón, distrito de Pacllón, provincia de Bolognesi, departamento de Ancash</t>
  </si>
  <si>
    <t>Mejoramiento de Infraestructura Vial y Peatonal</t>
  </si>
  <si>
    <t>Contrato
Certificado de Conformidad de Ejecución de Obras
Acta de Recepción de Obra</t>
  </si>
  <si>
    <t>SNIP Nº285738</t>
  </si>
  <si>
    <t>Compañía Minera Antapaccay S.A.</t>
  </si>
  <si>
    <t>Servicios de Arrendamiento de equipos para trabajos de movimiento de tierras y conservación vial</t>
  </si>
  <si>
    <t>Alquiler de Equipos
Movimiento de Tierras
Obras Viales</t>
  </si>
  <si>
    <t>Campamento Minero TINTAYA
(Cuzco) /
Planta Matarani 
(Arequipa)</t>
  </si>
  <si>
    <t>Acta de Recepción y Conformidad de Obra
Orden de Compra</t>
  </si>
  <si>
    <t>CA-027/16</t>
  </si>
  <si>
    <t>Frank Valenzuela</t>
  </si>
  <si>
    <t>Supervisor de Servicios Operacionales</t>
  </si>
  <si>
    <t>Mantenimiento de la Carretera Vizcachani-Callalli-Negromayo-Yauri y de Movimiento de Tierras</t>
  </si>
  <si>
    <t>Movimiento de Tierras
Obras Viales</t>
  </si>
  <si>
    <r>
      <rPr>
        <b/>
        <sz val="12"/>
        <color rgb="FF000000"/>
        <rFont val="Arial"/>
        <family val="2"/>
      </rPr>
      <t>Mantenimiento Rutinario</t>
    </r>
    <r>
      <rPr>
        <sz val="12"/>
        <color indexed="8"/>
        <rFont val="Arial"/>
        <family val="2"/>
      </rPr>
      <t xml:space="preserve"> (regadío, escarificado, conformado y compactación -para corregir el bacheo, encalaminado, hundimientos, ahuellamientos, etc.-, limpieza de cunetas, cabezales y alcantarillas, puentes ,señalización -postes, letreros, guardavías, barandas, etc.)
</t>
    </r>
    <r>
      <rPr>
        <b/>
        <sz val="12"/>
        <color rgb="FF000000"/>
        <rFont val="Arial"/>
        <family val="2"/>
      </rPr>
      <t>Mejoramiento</t>
    </r>
    <r>
      <rPr>
        <sz val="12"/>
        <color indexed="8"/>
        <rFont val="Arial"/>
        <family val="2"/>
      </rPr>
      <t xml:space="preserve"> (reposición de material de afirmado)</t>
    </r>
  </si>
  <si>
    <t>(Arequipa &amp; Cuzco)</t>
  </si>
  <si>
    <t>Contrato
Acta de Recepción de Proyecto</t>
  </si>
  <si>
    <t>CA-140/14</t>
  </si>
  <si>
    <t>Osvaldo Vargas Mayorga /
José Zúñiga Moreno</t>
  </si>
  <si>
    <t>Superintendente de Servicios Operacionales /
Supervisor de Servicios Operacionales</t>
  </si>
  <si>
    <r>
      <rPr>
        <b/>
        <sz val="12"/>
        <color rgb="FF000000"/>
        <rFont val="Arial"/>
        <family val="2"/>
      </rPr>
      <t xml:space="preserve">Movimiento de Tierras </t>
    </r>
    <r>
      <rPr>
        <sz val="12"/>
        <color indexed="8"/>
        <rFont val="Arial"/>
        <family val="2"/>
      </rPr>
      <t xml:space="preserve">para  </t>
    </r>
    <r>
      <rPr>
        <b/>
        <sz val="12"/>
        <color rgb="FF000000"/>
        <rFont val="Arial"/>
        <family val="2"/>
      </rPr>
      <t>trabajos en la reactivación de la Planta</t>
    </r>
    <r>
      <rPr>
        <sz val="12"/>
        <color indexed="8"/>
        <rFont val="Arial"/>
        <family val="2"/>
      </rPr>
      <t xml:space="preserve"> Tintaya (construcción de accesos, de camino minero temporal, de rampa, de vía; tendido de tubería en rampa, trabajos varios)</t>
    </r>
  </si>
  <si>
    <t>Adenda 1 - Adicional</t>
  </si>
  <si>
    <t>Edgardo Orderique Luperdi</t>
  </si>
  <si>
    <t>Gerente General</t>
  </si>
  <si>
    <t>Adenda 2 - Ampliación de plazo</t>
  </si>
  <si>
    <t>Adenda 3 - Adicional + Ampliación de plazo</t>
  </si>
  <si>
    <t>Fundación Tintaya</t>
  </si>
  <si>
    <t>I Etapa de la Construcción de Pistas, Veredas y Obras complementarias, Calles Túpac Amaru y Cachinita Condoroma</t>
  </si>
  <si>
    <t>Obras Civiles
Obras Viales</t>
  </si>
  <si>
    <t>(Cuzco)</t>
  </si>
  <si>
    <t>Contrato</t>
  </si>
  <si>
    <t>037/2011</t>
  </si>
  <si>
    <t>Ramiro Valdez Marín /
Abaham Carrasco Valencia</t>
  </si>
  <si>
    <t>Director Ejecutivo &amp; Representante Legal /
Dueño del Contrato</t>
  </si>
  <si>
    <t>Compañía Minera Ares S.A.C.</t>
  </si>
  <si>
    <t>Servicio de equipos pesados realización de trabajos de mantenimiento de vías y construcción de plataformas de perforación en el proyecto Crespo</t>
  </si>
  <si>
    <t>Proyecto CRESPO
(Cuzco)</t>
  </si>
  <si>
    <t>1013-0216-2011</t>
  </si>
  <si>
    <t>Freddy Mayor Zevallos</t>
  </si>
  <si>
    <t>Representante Legal</t>
  </si>
  <si>
    <t>Contrato marco de ejecución de obras civiles - Proyecto Azuca.</t>
  </si>
  <si>
    <t>Proyecto AZUCA
(Cuzco / Apurímac)</t>
  </si>
  <si>
    <t>1013-0428-2010</t>
  </si>
  <si>
    <t>Ernesto Balarezo Valdez</t>
  </si>
  <si>
    <t>Faltan 3 Órdenes de Cambio</t>
  </si>
  <si>
    <t>Recrecimiento de presa de relaves No. 6 - UO Arcata</t>
  </si>
  <si>
    <r>
      <rPr>
        <b/>
        <sz val="12"/>
        <rFont val="Arial"/>
        <family val="2"/>
      </rPr>
      <t xml:space="preserve">- Recrecimiento e impermeabilización del dique principal
- Construcción e impermeabilización de diques laterales
- Construcción de accesos hacia los diques
- Obras complementarias: </t>
    </r>
    <r>
      <rPr>
        <sz val="12"/>
        <rFont val="Arial"/>
        <family val="2"/>
      </rPr>
      <t>Sistema de drenaje y captación de aguas, Sistema de decantación de agua, Cajas disipadoras de impacto, Poza de sedimentación, Variante de canal de derivación, Instrumentación, Mitigación de impacto ambiental.</t>
    </r>
  </si>
  <si>
    <t>UO ARCATA
(Arequipa)</t>
  </si>
  <si>
    <t>Contrato -Recrecimiento Presa Relaves N° 6 - UO Arcata.pdf
pág. 1 de 11
RESUMEN
Acta Entrega de Obra.pdf
págs. 1-2 de 4
Ficha Técnica</t>
  </si>
  <si>
    <t>1013-0134-2010</t>
  </si>
  <si>
    <t>Orden de Cambio 1</t>
  </si>
  <si>
    <t>Corporación Minera Castrovirreyna S.A.</t>
  </si>
  <si>
    <t>Arrendamiento de Equipos - Unidad Minera Reliquias - Caudalosa Grande</t>
  </si>
  <si>
    <t>Alquiler de Equipos</t>
  </si>
  <si>
    <t>(02) Cargador Frontal</t>
  </si>
  <si>
    <t>UM RELIQUIAS - CAUDALOSA GRANDE
(Huancavelica)</t>
  </si>
  <si>
    <t>Max Hugo Inga Batalla</t>
  </si>
  <si>
    <t>Adenda 1 - Actualización de Equipos</t>
  </si>
  <si>
    <t>Compañía Minera Caudalosa S.A.</t>
  </si>
  <si>
    <t>Estabilización del Depósito de Relaves A, para el Cierre - UEA Huachocolpa Uno - Fase 1</t>
  </si>
  <si>
    <r>
      <rPr>
        <b/>
        <sz val="12"/>
        <color rgb="FF000000"/>
        <rFont val="Arial"/>
        <family val="2"/>
      </rPr>
      <t>Construcción de Dique:</t>
    </r>
    <r>
      <rPr>
        <sz val="12"/>
        <color indexed="8"/>
        <rFont val="Arial"/>
        <family val="2"/>
      </rPr>
      <t xml:space="preserve">
- Limpieza de Relaves a nivel de Cimentación
- Transporte de Material roca y desmonte mina
- Relleno con Bolonería mayor y menor
- Relleno compactado con desmonte de mina</t>
    </r>
  </si>
  <si>
    <t>UM CAUDALOSA
(Huancavelica)</t>
  </si>
  <si>
    <t>10 Caudalosa - Acta Entrega-Recepción -Estabilización.pdf
págs. 1-2 de 4
ANEXO 06</t>
  </si>
  <si>
    <t>002-2010-OC/CMC</t>
  </si>
  <si>
    <t>Alberto Pescetto Raffo /
Luis Seijas Peñaherrera</t>
  </si>
  <si>
    <t>Gerente General /
Gerente de Operaciones</t>
  </si>
  <si>
    <t>Reforzamiento de Taludes de Cancha de Relaves - UEA Huachacolpa Uno</t>
  </si>
  <si>
    <t>UM UEA HUACHACOLPA UNO
(Huancavelica)</t>
  </si>
  <si>
    <t>9 Caudalosa - Contrato -Reforzamiento Taludes.pdf
pág. 40 de 43
ORDEN DE TRABAJO</t>
  </si>
  <si>
    <t>001-2010-OC/CMC</t>
  </si>
  <si>
    <t>Full Terra Umasi S.R.L.</t>
  </si>
  <si>
    <t>Arrendamiento de Equipos</t>
  </si>
  <si>
    <t>(02) Rodillos vibratorios
(02) Motoniveladoras
(02) Cargador Frontal</t>
  </si>
  <si>
    <t>ANTAPACCAY
(Cuzco)</t>
  </si>
  <si>
    <t>001-02-2018-CPR-LIM</t>
  </si>
  <si>
    <t>A tarifa seca</t>
  </si>
  <si>
    <t>Santos Umasi Chancayauri</t>
  </si>
  <si>
    <t>Gerente General &amp; Representante Legal</t>
  </si>
  <si>
    <t>GyM S.A.</t>
  </si>
  <si>
    <t>Arrendamiento de Equipos para Movimiento de Tierras</t>
  </si>
  <si>
    <t>(02) Tractor de orugas
(01) Motoniveladora
(01) Rodillo
(05) Volquetes</t>
  </si>
  <si>
    <t>Proyecto NUEVA FUERABAMBA
(Apurímac)</t>
  </si>
  <si>
    <t>1728-039-11</t>
  </si>
  <si>
    <t>José Luis Del Corral Delgado /
Renato Rojas Balta</t>
  </si>
  <si>
    <t>Representante Legal /
Representante Legal</t>
  </si>
  <si>
    <t>Adenda 1 - Actualización de tarifas</t>
  </si>
  <si>
    <t>1728-039-01-12</t>
  </si>
  <si>
    <t>Jorge Manchego Gómez /
Rafael Correa Pagador</t>
  </si>
  <si>
    <t>Gerente de Proyecto /
Gerente Técnico</t>
  </si>
  <si>
    <t>Hudbay Peru S.A.C.</t>
  </si>
  <si>
    <t>Mantenimiento de la carretera Espinar - Marquiri - Challuta - Negromayo</t>
  </si>
  <si>
    <t>Proyecto CONSTANCIA
(Cuzco)</t>
  </si>
  <si>
    <t>HBM-CC-00379-16</t>
  </si>
  <si>
    <t>Tiempo y Materiales</t>
  </si>
  <si>
    <t>Claudia Cecilia Asca Cordano</t>
  </si>
  <si>
    <t>Gerente de Procura</t>
  </si>
  <si>
    <t>Mantenimiento de la Carretera Vizcachani - Negromayo - Antapaccay - Espinar</t>
  </si>
  <si>
    <t>Contrato
págs. 2, 3 y 62 de 69</t>
  </si>
  <si>
    <t>HBCONS-CT-00212-14</t>
  </si>
  <si>
    <t>Cashel Aran Meagher /
Claudia Cecilia Asca Cordano</t>
  </si>
  <si>
    <t>Gerente General /
Gerente de Procura</t>
  </si>
  <si>
    <t>Construcción y Mejoramiento de Zanjas de Coronación, Banquetas y Cunetas</t>
  </si>
  <si>
    <t>Acta de Entrega de Obra</t>
  </si>
  <si>
    <t>CN HB-CONS-SITE-CN-0215-14</t>
  </si>
  <si>
    <t>Francisco Marín Polo /
Ing. James Gannon</t>
  </si>
  <si>
    <t>Supervisor de Obra /
Gerente de Proyectos</t>
  </si>
  <si>
    <t>Mejoramiento de las siete curvas del Tramo: Yauri – Dv. Livitaca
(Mantenimiento de caminos con aplicación de emulsión asfaltica para baches en carretera Yauri - Dv. Livitaca (Km. 169+00 - 222+00))</t>
  </si>
  <si>
    <t>Obras Preliminares
Movimiento de Tierras
Obras de Arte y Drenaje
Transportes
Señalización y Seguridad Vial</t>
  </si>
  <si>
    <t>Contrato (p. 319)</t>
  </si>
  <si>
    <t>HBMCONS-CT-00062-12</t>
  </si>
  <si>
    <t>Cashel Aran Meagher</t>
  </si>
  <si>
    <t>Adicional: Movilización &amp; Desmovilización</t>
  </si>
  <si>
    <t>Adenda 1  - Adicional</t>
  </si>
  <si>
    <t>Terry Brian Linde</t>
  </si>
  <si>
    <t>Director de Proyectos</t>
  </si>
  <si>
    <t>Adicional: Stand-down</t>
  </si>
  <si>
    <t>Adenda  2  - Adicional (costo Stand-down)</t>
  </si>
  <si>
    <t>Adicional: Servicios complementarios
1. TRABAJOS PRELIMINARES (Movilización y Desmovilización de Equipo, Trazo Nivelación y Replanteo durante la Obra, Señalización y Cerco Seguridad.)
2. IMPRIMACIÓN (Escarificado Base existente, Base estabilizada con emulsión asfáltica.)</t>
  </si>
  <si>
    <t>Adenda  3  - Adicional (Servicios complementarios)</t>
  </si>
  <si>
    <t>Adicional: Servicios complementarios</t>
  </si>
  <si>
    <t>Adenda  4  - Servicios complementarios
Acta de Entrega de Obra</t>
  </si>
  <si>
    <t>ICCGSA</t>
  </si>
  <si>
    <t>Construcción de 29 alcantarillas TMC de 48" (Servicio de Gestión y Conservación Vial por Niveles de Servicio de la Carretera Dv. Abancay - Chuquibambilla  - Chalhuahuacho - Santo Tomás - Yauri)</t>
  </si>
  <si>
    <t>Obras Preliminares
Movimiento de Tierras
Obras de Concreto Simple</t>
  </si>
  <si>
    <t>(Apurímac &amp; Cuzco)</t>
  </si>
  <si>
    <t>Contrato (p. 10)</t>
  </si>
  <si>
    <t>081-2010-MTC/20</t>
  </si>
  <si>
    <t>2012_</t>
  </si>
  <si>
    <t>_2012</t>
  </si>
  <si>
    <t>José Javier Jordán Morales</t>
  </si>
  <si>
    <t>Compañía Minera Kolpa S.A.</t>
  </si>
  <si>
    <t>Arrendamiento de maquinaria y prestacion de servicios</t>
  </si>
  <si>
    <t>(01) Tractor sobre Orugas
(01) Rodillo
(01) Excavadora sobre Orugas</t>
  </si>
  <si>
    <t>A todo costo</t>
  </si>
  <si>
    <t>José Luis Agramonte Mostajo /
Raúl Martín Salcedo Pachas</t>
  </si>
  <si>
    <t>Xstrata Las Bambas S.A.</t>
  </si>
  <si>
    <t>Mantenimiento de Infraestructura no Residenciales y Atención de Emergencia en Nuevo Fuerabamba</t>
  </si>
  <si>
    <r>
      <rPr>
        <b/>
        <sz val="12"/>
        <color rgb="FF000000"/>
        <rFont val="Arial"/>
        <family val="2"/>
      </rPr>
      <t>Operación, Mantenimiento y Mejoras:</t>
    </r>
    <r>
      <rPr>
        <sz val="12"/>
        <color indexed="8"/>
        <rFont val="Arial"/>
        <family val="2"/>
      </rPr>
      <t xml:space="preserve">
- Viviendas y edificios no residenciales y habilitación urbana
- mantenimiento de áreas verdes y taludes cubiertos con material orgánico; reparación/reposición/mejoras en mantenimiento de pistas, cunetas, veredas y áreas públicas/urbanas.
- Mantenimiento de generadores eléctricos y electrobombas.</t>
    </r>
  </si>
  <si>
    <t>Contrato
Acta de Recepción y Conformidad</t>
  </si>
  <si>
    <t>CB-062-14</t>
  </si>
  <si>
    <t>Gustavo Paredes</t>
  </si>
  <si>
    <t>Supervisor de Proyectos de Construcción
Ingeniería</t>
  </si>
  <si>
    <t>gustavo.paredes@glencore.com.pe</t>
  </si>
  <si>
    <t>372-2233 (anexo 4106)</t>
  </si>
  <si>
    <t>Personal &amp; Equipos adicionales</t>
  </si>
  <si>
    <r>
      <t xml:space="preserve">Adenda 1 - Adicional + Ampliación de plazo
</t>
    </r>
    <r>
      <rPr>
        <b/>
        <sz val="12"/>
        <color rgb="FFFF0000"/>
        <rFont val="Arial"/>
        <family val="2"/>
      </rPr>
      <t>(SIN FIRMAS)</t>
    </r>
  </si>
  <si>
    <t>Valentín Choquenaira Bombilla</t>
  </si>
  <si>
    <t>Luis Orlando Ticona Condori</t>
  </si>
  <si>
    <t>Incremento del servicio, Personal &amp; Equipos adicionales (por temporada de lluvias)</t>
  </si>
  <si>
    <t>Luis Rivera Ruiz</t>
  </si>
  <si>
    <t>Contrato está incompleto (faltan varias páginas)</t>
  </si>
  <si>
    <t>Construcción del Puente Badén Minascucho - Chila</t>
  </si>
  <si>
    <t>Movimiento de Tierras
Obras Civiles
Obras Viales</t>
  </si>
  <si>
    <t>Movimiento de Tierras (Excavación, Perfilado, Relleno Compactado)</t>
  </si>
  <si>
    <t>(Apurímac)</t>
  </si>
  <si>
    <t>Contrato
Página 2 de la Adenda</t>
  </si>
  <si>
    <t>25648-220-HC2-AK00-00011</t>
  </si>
  <si>
    <t>Giannina Mariella Assereto Bossio</t>
  </si>
  <si>
    <t>Apoderado Legal</t>
  </si>
  <si>
    <t>Cierre del Contrato</t>
  </si>
  <si>
    <t>Adenda 1 - Cierre del Contrato</t>
  </si>
  <si>
    <t>Contrato de Obra, bajo la Modalidad de Suma Alzada, para la Prestación de Servicios de Construcción del Cementerio para el Proyecto Nueva Fuerabamba</t>
  </si>
  <si>
    <t>1. Logística y Almacenamiento en Obra
2. Labores de Construcción
3. Sistemas de Almacenamiento y Vigilancia
4. Movilización y Desmovilización
5. Instalación de Faenas del Contratista
6. Movimiento de Tierras
7. Edificaciones
8. Arquitectura
9. Redes Interiores de Agua Potable
10. Instalaciones Eléctricas
11. Medio Ambiente
12. Seguridad en la Obra</t>
  </si>
  <si>
    <t>25648-220-HC2-AK00-00006</t>
  </si>
  <si>
    <t>Domingo Felipe Drago Salcedo</t>
  </si>
  <si>
    <t>Adenda 1 - Ampliación de plazo</t>
  </si>
  <si>
    <t>11/04/2013</t>
  </si>
  <si>
    <t>Adenda 2 - Adicional + Ampliación de plazo</t>
  </si>
  <si>
    <r>
      <t xml:space="preserve">Adenda 3 - Adicional + Ampliación de plazo
</t>
    </r>
    <r>
      <rPr>
        <b/>
        <sz val="12"/>
        <color rgb="FFFF0000"/>
        <rFont val="Arial"/>
        <family val="2"/>
      </rPr>
      <t>(SIN FIRMA DEL CLIENTE)</t>
    </r>
  </si>
  <si>
    <t>Contrato de Obra, bajo la Modalidad de Precios Unitarios, para la Construcción del Cruce Badén - Río Challhuahuacho, y Trabajos varios</t>
  </si>
  <si>
    <t>O bras Civiles</t>
  </si>
  <si>
    <t>25648-220-HC2-AK00-00005</t>
  </si>
  <si>
    <t>Pedro Balic</t>
  </si>
  <si>
    <t>Gerente de Terreno (Proyecto Nueva Fuerabamba)</t>
  </si>
  <si>
    <t>pbalic@xstratacopper.com</t>
  </si>
  <si>
    <t>Adenda 1 - Ampliación de plazo &amp; ajuste (reducción= de precio</t>
  </si>
  <si>
    <t>44A</t>
  </si>
  <si>
    <t>Minera Las Bambas S.A.
(Las Bambas Mining Company S.A.)</t>
  </si>
  <si>
    <t>Servicios varios para Mina Las Bambas
(Truck Shop / Limpieza de redes de alcantarillado, etc.)</t>
  </si>
  <si>
    <t>Mantenimiento infraestructura drenaje TS</t>
  </si>
  <si>
    <t>OC</t>
  </si>
  <si>
    <t>José Murga</t>
  </si>
  <si>
    <t>Compras</t>
  </si>
  <si>
    <t>jose.murga@mmg.com</t>
  </si>
  <si>
    <t>418-3798</t>
  </si>
  <si>
    <t>44B</t>
  </si>
  <si>
    <t>CONFORMACIÓN DE PLATAFORMA LLAVERO PAM</t>
  </si>
  <si>
    <t>CONFORMACIÓN DE PLATAFORMA LLAVERO PAMPA</t>
  </si>
  <si>
    <t>44C</t>
  </si>
  <si>
    <t>REUBICACION DE LOOP SUR</t>
  </si>
  <si>
    <t>ALQUILER DE RETROEXCABADORA 420F</t>
  </si>
  <si>
    <t>44D</t>
  </si>
  <si>
    <t>MANTENIMIENTO DE TALLER DE CABLES</t>
  </si>
  <si>
    <t>44E</t>
  </si>
  <si>
    <t>REP. TAPA BUZON SIST. PLUVIAL TRUCK SHOP</t>
  </si>
  <si>
    <t>REP TAPA BUZON SIST AGUAS PLUVIALES</t>
  </si>
  <si>
    <t>44F</t>
  </si>
  <si>
    <t>Mantto Drenaje Exterior Taller Camiones Implementacion de un sistema de drenaje exterior a los portones 131-DOE- 007@9, Taller de Camiones</t>
  </si>
  <si>
    <t>Implementacion de un sistema de drenaje</t>
  </si>
  <si>
    <t>44G</t>
  </si>
  <si>
    <t>SERV ALQ RETROEXCAVADORA - INST POSTES</t>
  </si>
  <si>
    <t>44H</t>
  </si>
  <si>
    <t>Alquiler de Retroexcavadora 420F
Extensión de linea 22.9kV</t>
  </si>
  <si>
    <t>SERVICIO DE RETROEXCAVADORA 20DIAS</t>
  </si>
  <si>
    <t>Yill Maria Portugal</t>
  </si>
  <si>
    <t>yillmaria.portugal@mmg.com</t>
  </si>
  <si>
    <t>418-4477</t>
  </si>
  <si>
    <t>44I</t>
  </si>
  <si>
    <t>Mantto drenaje exterior sala 139 TS
MEJORAMIENTO SIST DRENAJE AREA DE TANQUE</t>
  </si>
  <si>
    <t>MANTENIMIENTO DE DRENAJE DE SALA 139
MEJORAMIENTO DRENAJE AREA TANQUES</t>
  </si>
  <si>
    <t>44J</t>
  </si>
  <si>
    <t>Servicio retroexcavadora para lineas pos</t>
  </si>
  <si>
    <t>44K</t>
  </si>
  <si>
    <t>44L</t>
  </si>
  <si>
    <t>Mantto sistema drenaje agua pluvial TS</t>
  </si>
  <si>
    <t>limpieza de sistema de drenaje y buzones</t>
  </si>
  <si>
    <t>44M</t>
  </si>
  <si>
    <t>44N</t>
  </si>
  <si>
    <t>Mantto Infraestructura EBR Surphuy</t>
  </si>
  <si>
    <t>1MEJORAMIENTO Y ADECUACIÓN DE PLATAFORMA</t>
  </si>
  <si>
    <t>44O</t>
  </si>
  <si>
    <t>SERV REPARACION Y LIMPIEZA DE CHECK DAMS</t>
  </si>
  <si>
    <t>Serv Reparacion y limpieza de Check dams</t>
  </si>
  <si>
    <t>Rodrigo Sanchez</t>
  </si>
  <si>
    <t>rodrigo.sanchez@mmg.com</t>
  </si>
  <si>
    <t>321-8846</t>
  </si>
  <si>
    <t>44P</t>
  </si>
  <si>
    <t>servicio de instalación de sardinel</t>
  </si>
  <si>
    <t>Constr. de sardineles en trasformadores</t>
  </si>
  <si>
    <t>16/09/2019</t>
  </si>
  <si>
    <t>44Q</t>
  </si>
  <si>
    <t>Mantto infraestructura sistema drenaje</t>
  </si>
  <si>
    <t>Mantto de infraestructura Taller MEM Lla</t>
  </si>
  <si>
    <t>44R</t>
  </si>
  <si>
    <t>Extension de linea para Surphuy</t>
  </si>
  <si>
    <t>Extension de linea para con retroexcavad</t>
  </si>
  <si>
    <t>44S</t>
  </si>
  <si>
    <t>Instalacion postes Lineas Electri 15 Dia</t>
  </si>
  <si>
    <t>ALQUILER RETROECAVADORA INST POSTES OPER</t>
  </si>
  <si>
    <t>44T</t>
  </si>
  <si>
    <t>Reparación sistema desague FSA</t>
  </si>
  <si>
    <t>REPARACION DEL SIST DE
DESAGUE TRUCK SHOP</t>
  </si>
  <si>
    <t>yillmaria.portugal.contratista@mmg.com</t>
  </si>
  <si>
    <t>Suministro e Instalación de Guardavías ruta Cusco las Bambas</t>
  </si>
  <si>
    <t>Suministro e Instalación de Guardavías (Un (01) Riel y Doble (02) Riel)</t>
  </si>
  <si>
    <t>Pacarectambo / Ccapi, Paruro
(Cuzco)</t>
  </si>
  <si>
    <t>Contrato
Factura
Estado de Pago
Acta de Recepción y Conformidad de Servicio
Informe de Liquidación</t>
  </si>
  <si>
    <t>CW2242865
Factura: E001-4555
O/S: 4400270149
Informe: Contrato CW2242865</t>
  </si>
  <si>
    <t>Juan Carlos Pérez /
Ridson Warthon</t>
  </si>
  <si>
    <t>963-749-175 /
_________</t>
  </si>
  <si>
    <t>Faltan 3 Adendas 3, 4 y 5</t>
  </si>
  <si>
    <t>Servicio de Mantenimiento de vía, Respuesta de Emergencias y Control de polvo del Heavy Haul Road</t>
  </si>
  <si>
    <t>1. Mantenimiento Rutinario
a) Conservación de Plataforma y Taludes
b) Conservación de Calzada en Afirmado
c) Conservación de Drenaje Superficial
d) Transporte
2. Atención de Emergencias
3. Control de polvo</t>
  </si>
  <si>
    <t>Carta de Adjudicación
Contrato</t>
  </si>
  <si>
    <t>CB-127-16</t>
  </si>
  <si>
    <t>Juan Carlos Pérez /
José Castillo</t>
  </si>
  <si>
    <t>Superintendente de Ingeniería &amp; Dueño de Contrato /
_________</t>
  </si>
  <si>
    <t>juancarlos.perez@mmg.com /
_________</t>
  </si>
  <si>
    <t>321-7107, 963-749-175 /
_________</t>
  </si>
  <si>
    <t>- Equipos y Personal adicional
- Modificación del Nivel de Servicio</t>
  </si>
  <si>
    <t>Adenda 1 - Adicional al Contrato &amp; Modificación del Nivel de Servicio</t>
  </si>
  <si>
    <t>Sebastián Lobo Yamin /
José Castillo</t>
  </si>
  <si>
    <t>Representante Legal /
_________</t>
  </si>
  <si>
    <t>Atención de Emergencias (para temporada de lluvias 2018)</t>
  </si>
  <si>
    <t>Adenda 6 - Adicional al Contrato</t>
  </si>
  <si>
    <t>Domingo Felipe Drago Salcedo /
José Castillo</t>
  </si>
  <si>
    <t>Servicio de Mantenimiento de Vía Yaurisque - Dv. Ccapacmarca</t>
  </si>
  <si>
    <t>1. Mantenimiento Rutinario
a) Conservación de Plataforma y Taludes
b) Conservación de Calzada en Afirmado
c) Conservación de Drenaje Superficial
2. Atención de Emergencias</t>
  </si>
  <si>
    <t>(Cuzco &amp; Apurímac)</t>
  </si>
  <si>
    <t>CB-197-15</t>
  </si>
  <si>
    <t>Juan Carlos Pérez /
José Castillo /
Eli Mamani</t>
  </si>
  <si>
    <t>juancarlos.perez@mmg.com /
_________ /
eli.mamani@mmg.com</t>
  </si>
  <si>
    <t>321-7107, 963-749-175 /
_________ /
321-7251</t>
  </si>
  <si>
    <t>1. Mantenimiento Rutinario
2. Control de Polvo</t>
  </si>
  <si>
    <t>Adenda 1 - Adicional + Ampliación de plazo</t>
  </si>
  <si>
    <t>Servicio de Mantenimiento de vía y riego del Heavy Haul Road</t>
  </si>
  <si>
    <t>1. Mantenimiento Rutinario
a) Conservación de Plataforma y Taludes
b) Conservación de Calzada en Afirmado
c) Conservación de Drenaje Superficial
d) Transporte
2. Control de polvo</t>
  </si>
  <si>
    <t xml:space="preserve"> Contrato (p. 44)
Acta de Recepción y Conformidad</t>
  </si>
  <si>
    <t>CB-036-15</t>
  </si>
  <si>
    <t>372-2233 (Anexo 4107), 963-749-175 /
_________</t>
  </si>
  <si>
    <t>Desmovilización de recursos para:
1. Mantenimiento Rutinario
2. Control de polvo</t>
  </si>
  <si>
    <t>Adenda 1 - Adicional al Contrato</t>
  </si>
  <si>
    <t>1. Mantenimiento Rutinario
2. Control de polvo</t>
  </si>
  <si>
    <t>31/05/2016</t>
  </si>
  <si>
    <t>Adenda 4 - Adicional + Ampliación de plazo</t>
  </si>
  <si>
    <t>Adenda 5 - Adicional + Ampliación de plazo</t>
  </si>
  <si>
    <t>Adenda 6 - Adicional + Ampliación de plazo</t>
  </si>
  <si>
    <t>Servicio de Control de Polvo en Ruta Yaurisque - Dv. Ccapacmarca</t>
  </si>
  <si>
    <t>Control de polvo</t>
  </si>
  <si>
    <t>Ruta 5 (Yaurisque - Dv- Ccapacmarca)
(Cuzco &amp; Apurímac)</t>
  </si>
  <si>
    <t>CB-107-16</t>
  </si>
  <si>
    <t>Falta pág. 63 del Contrato</t>
  </si>
  <si>
    <t>Servicio de Atención de Emergencias en Vía del Heavy Haul Road y Ruta 5</t>
  </si>
  <si>
    <t>CB-037-16</t>
  </si>
  <si>
    <r>
      <t xml:space="preserve">Adenda 1 - Adicional al Contrato
</t>
    </r>
    <r>
      <rPr>
        <b/>
        <sz val="12"/>
        <color rgb="FFFF0000"/>
        <rFont val="Arial"/>
        <family val="2"/>
      </rPr>
      <t>(SIN FIRMAS)</t>
    </r>
  </si>
  <si>
    <t>14/05/2016</t>
  </si>
  <si>
    <r>
      <t xml:space="preserve">Control de Polvo - Ruta 5
</t>
    </r>
    <r>
      <rPr>
        <b/>
        <sz val="12"/>
        <color rgb="FF0000FF"/>
        <rFont val="Arial"/>
        <family val="2"/>
      </rPr>
      <t xml:space="preserve">
(SERVICIO DE CONTROL DE POLVO EN RUTA YAURISQUE – DV. CCAPACMARCA)</t>
    </r>
  </si>
  <si>
    <t>Alquiler de Equipos
Obras Viales</t>
  </si>
  <si>
    <t>SERVICIO ALQUILER DE 06 CISTERNAS DE AGUA
5,000 GLN</t>
  </si>
  <si>
    <t>Herli Aliaga</t>
  </si>
  <si>
    <t>herli.aliaga@mmg.com</t>
  </si>
  <si>
    <t>372-2233</t>
  </si>
  <si>
    <t>Eli Mamani</t>
  </si>
  <si>
    <t>eli.mamani@mmg.com</t>
  </si>
  <si>
    <t>321-7251</t>
  </si>
  <si>
    <t>Liliana Alva</t>
  </si>
  <si>
    <t>liliana.alva@mmg.com</t>
  </si>
  <si>
    <t>418-3753</t>
  </si>
  <si>
    <t>Jose Murga</t>
  </si>
  <si>
    <t>Del Contrato falta la 1ra pág. del ANEXO A</t>
  </si>
  <si>
    <t>Mantenimiento de Vía Yaurisque - Conguya</t>
  </si>
  <si>
    <t>a) Mantenimiento Rutinario de Vía
b) Atención de Emergencias</t>
  </si>
  <si>
    <t>Contrato
Acta de Recepción de Obra</t>
  </si>
  <si>
    <t>CB-086-14</t>
  </si>
  <si>
    <t>Luis Orlando Ticona Condori /
Ronald Dueñas Zegarra</t>
  </si>
  <si>
    <t>Representante Legal /
Supervisor de Gestión de Proyectos</t>
  </si>
  <si>
    <t>Equipos
Personal
Señalización provisional</t>
  </si>
  <si>
    <t>Equipos
Personal
Atención de Emergencias</t>
  </si>
  <si>
    <t>Servicio de Atención de Emergencias en las Vías Heavy Haul Road y Ruta 5</t>
  </si>
  <si>
    <t>Atención de Emergencias</t>
  </si>
  <si>
    <t>CB-185-16</t>
  </si>
  <si>
    <t>Eduardo Rodrigo</t>
  </si>
  <si>
    <t>Supervisor de Ingeniería de Las Bambas</t>
  </si>
  <si>
    <t>eduardo.rodrigo@mmg.com</t>
  </si>
  <si>
    <t>973-585-101</t>
  </si>
  <si>
    <t>Mejoramiento Pase Vehicular Chaychapampa KP 204+000 HHR</t>
  </si>
  <si>
    <t>Mejoramiento Pase vehicular</t>
  </si>
  <si>
    <t>OC - Adicional HHR</t>
  </si>
  <si>
    <t>Juan Carlos Pérez</t>
  </si>
  <si>
    <t>Dueño de Contrato</t>
  </si>
  <si>
    <t>Mantenimiento y Atención de Emergencias en Nueva Fuerabamba</t>
  </si>
  <si>
    <t>1. Viviendas, Edificios no residenciales y habilitación urbana
2. Áreas externas
3. Redes eléctricas
4. Redes de agua y alcantarillado
5. Atención de trabajos de mantenimiento y emergencias
6. Supervisión</t>
  </si>
  <si>
    <t>Contrato
Certificado de Aceptación Definitiva</t>
  </si>
  <si>
    <t>CB-023-15</t>
  </si>
  <si>
    <t>gustavo.paredes@mmg.com</t>
  </si>
  <si>
    <t>Contrato de Prestación de Servicios de Construcción de Veredas y Losas en Nueva Fuerabamba</t>
  </si>
  <si>
    <t>Trabajos preliminares
Movimiento de Tierras
Pavimento Rígido
Partidas complementarias (pruebas y diseño de mezclas)
Flete Terrestre</t>
  </si>
  <si>
    <t>Contrato
Certificado de Aceptación Definitiva
Acta de Recepción y Conformidad</t>
  </si>
  <si>
    <t>CB-132-15</t>
  </si>
  <si>
    <t>Contrato para Servicios de Suministro e Instalación de Cerámicos y Lavaderos del Proyecto Nueva Fuerabamba</t>
  </si>
  <si>
    <t>Suministro e instalación de Cerámicos y Lavaderos</t>
  </si>
  <si>
    <t>Certificado de Cierre Final y Liberación de Retenciones</t>
  </si>
  <si>
    <t>25648-220-HC2-AK00-00013</t>
  </si>
  <si>
    <t>Luis Cornejo</t>
  </si>
  <si>
    <t>Contracts and Procurement Manager
Nueva Fuerabamba Project</t>
  </si>
  <si>
    <t>Adenda 1</t>
  </si>
  <si>
    <t>Adenda 2</t>
  </si>
  <si>
    <t>Contrato de Prestación de Servicios para la Construcción de Descarga de Drenaje Pluvial de Chilla en Nueva Fuerabamba</t>
  </si>
  <si>
    <t>- Diseños de gabinete y de campo
- Obras de construcción
- Movimiento de tierras
- Suministro y construcción de obras de hormigón
- Entrega del Expediente Técnico completo de Ingeniería.</t>
  </si>
  <si>
    <t>25648-220-HC2-AK00-00012</t>
  </si>
  <si>
    <t>Cristian Kreuzer</t>
  </si>
  <si>
    <t>Gerente de Proyecto (Proyecto Nueva Fuerabamba)</t>
  </si>
  <si>
    <t>christian.kreuzer@mmg.com</t>
  </si>
  <si>
    <t>Contrato de Instalación de Cerco Perimetral y Portones Metálicos de las Viviendas en Nueva Fuerabamba</t>
  </si>
  <si>
    <t>Instalación de Cerco Perimetral y Portones Metálicos de Viviendas</t>
  </si>
  <si>
    <t>25648-220-HC3-AK00-00015</t>
  </si>
  <si>
    <t>Construcción de Bancoducto eléctrico Bodega - Lubricante</t>
  </si>
  <si>
    <t>Acta de Recepción del Proyecto</t>
  </si>
  <si>
    <t>Proyecto 4400112945</t>
  </si>
  <si>
    <t>__/09/2016</t>
  </si>
  <si>
    <t>Montaje e instalación de pararrayos</t>
  </si>
  <si>
    <t>Anexo 7 - Certificación QA/QC
Anexo 8 - Finiquito y Certificado de Pago Final
Anexo 10 - Certificación ES&amp;H
Anexo 11 - Certificado de Aceptación Definitva</t>
  </si>
  <si>
    <t>OC 4400078400</t>
  </si>
  <si>
    <t>__/__/2016</t>
  </si>
  <si>
    <t>Sistema de enmallado talud fase 3 (1ra y 2da etapa)</t>
  </si>
  <si>
    <t>Sistema de enmallado talud</t>
  </si>
  <si>
    <t>OC 4400064432</t>
  </si>
  <si>
    <t>Red de alcantarillado y drenaje pluvial en truck shop</t>
  </si>
  <si>
    <t>Acta de Recepción de Proyecto</t>
  </si>
  <si>
    <t>Proyecto 4400130732</t>
  </si>
  <si>
    <t>__/12/2016</t>
  </si>
  <si>
    <t>Sistema de drenaje cruce mina</t>
  </si>
  <si>
    <t>Proyecto 4400100438</t>
  </si>
  <si>
    <t>__/07/2016</t>
  </si>
  <si>
    <t>Manuel Álvarez /
Juan Velezmoro</t>
  </si>
  <si>
    <t>Superintendencia de Construcción y drenaje /
Dueño de Contrato</t>
  </si>
  <si>
    <t>Construcción de lavadero de equipos</t>
  </si>
  <si>
    <t>Proyecto 4400138842</t>
  </si>
  <si>
    <t>__/02/2017</t>
  </si>
  <si>
    <t>William Guzmán /
Juan Velezmoro</t>
  </si>
  <si>
    <t>Dueño de Contrato /
Dueño de Contrato</t>
  </si>
  <si>
    <t>Señalética operaciones mina</t>
  </si>
  <si>
    <t>Proyecto 4400099268</t>
  </si>
  <si>
    <t>Plataforma para Almacenamiento de Concentrado Stock 2</t>
  </si>
  <si>
    <t>Plataforma para Almacenamiento de Concentrado</t>
  </si>
  <si>
    <t>Proyecto 4400110470</t>
  </si>
  <si>
    <t>Eduardo Rodrigo /
Juan Carlos Pérez</t>
  </si>
  <si>
    <t>Dueño de Contrato /
Superintendencia de Ingeniería</t>
  </si>
  <si>
    <t>Rampa de lavado y losa para contenedores</t>
  </si>
  <si>
    <t>Proyecto 4400145604</t>
  </si>
  <si>
    <t>Obras varias acceso a manantiales</t>
  </si>
  <si>
    <t>Proyecto 4400148256 /
4400150726 /
4400157632 /
4400164473</t>
  </si>
  <si>
    <t>__/05/2017</t>
  </si>
  <si>
    <t>Gustavo Paredes /
Ronald Lozada</t>
  </si>
  <si>
    <t>Plataforma para Almacenamiento de Concentrado Stock 1</t>
  </si>
  <si>
    <t>Proyecto 4400110468</t>
  </si>
  <si>
    <t>Construcción losa de concreto</t>
  </si>
  <si>
    <t>Proyecto 4400154441 /
4400157873 /
4400170820</t>
  </si>
  <si>
    <t>__/06/2017</t>
  </si>
  <si>
    <t>Servicio sistema de drenaje (canales) Stock 1 y Stock 2</t>
  </si>
  <si>
    <t>Servicio sistema de drenaje (canales)</t>
  </si>
  <si>
    <t>__/10/2016</t>
  </si>
  <si>
    <t>Servicio de construcción de muretes perimetrales en losas UNICON</t>
  </si>
  <si>
    <t>Construcción de muretes perimetrales en losas UNICON</t>
  </si>
  <si>
    <t>Protección de taludes - Tubería Agua Fresca</t>
  </si>
  <si>
    <t>Proyecto 4400123053</t>
  </si>
  <si>
    <t>__/11/2016</t>
  </si>
  <si>
    <t>Ronald Dueñas /
Eduardo Rodrigo</t>
  </si>
  <si>
    <t>Programa de Desarrollo Productivo Agrario Rural - AGRO RURAL /
Ministerio de Agricultura y Riego (PERU)</t>
  </si>
  <si>
    <t>Elaboración de la ficha técnica de prevención y ejecución de la actividad Descolmatación y encauzamiento del río Lacramarca Tramo 1: KM 4+480 al KM 13+320 - Tramo 2: Palamenco 3960 m, distrito de Chimbote, provincia de Santa, Departamento de Ancash - Ítem Nº 10</t>
  </si>
  <si>
    <t>DESCOLMATACIÓN CAUCE DE RÍO:
1. Elaboración Ficha Técnica definitiva
2. Trabajos preliminares
3. Movimiento de Tierras</t>
  </si>
  <si>
    <t>Contrato
Contrato Consorcio</t>
  </si>
  <si>
    <t>49-2018-MINAGRI-AGRO RURAL</t>
  </si>
  <si>
    <t>__/02/2018</t>
  </si>
  <si>
    <t>__/03/2018</t>
  </si>
  <si>
    <t>Consorcio Lacramarca 2</t>
  </si>
  <si>
    <t>Maquinorte S.A.C.</t>
  </si>
  <si>
    <t>Luis Martín Guerrero Silva Solis</t>
  </si>
  <si>
    <t>Director de la Oficina de Administración</t>
  </si>
  <si>
    <t>MINSUR S.A.</t>
  </si>
  <si>
    <t>Construcción del Relleno Sanitario</t>
  </si>
  <si>
    <t>1. Obras Preliminares
2. Carretera de acceso
3. Trinchera
4. Drenaje de Gases
5. Sistema de Bombeo de Lixiviados (Poza de Bombeo)
6. Sistema de Recirculación de Lixiviados
7. Cerco Perimétrico
8. Caseta de guardianía
9. Instalaciones eléctricas</t>
  </si>
  <si>
    <t>UM SAN RAFAEL
(Puno)</t>
  </si>
  <si>
    <t>Contrato de Obra
DESGLOSE DEL PRECIO CONTRACTUAL - PARTIDAS
Acta Entrega final
ANEXO K
HES</t>
  </si>
  <si>
    <t>CON-SR-087</t>
  </si>
  <si>
    <t>Marco Espinoza Tofenio /
José Torres Parimango /
José Robles</t>
  </si>
  <si>
    <t>Jefe de Contratos SAN RAFAEL /
Jefe de Proyectos SAN RAFAEL /
_________</t>
  </si>
  <si>
    <t>marco.espinoza@minsur.com /
jose.torres@minsur.com /
_______</t>
  </si>
  <si>
    <t>215-8330</t>
  </si>
  <si>
    <t>Gonzalo Quijandría Fernández /
Enrique Rodríguez Cerdeña</t>
  </si>
  <si>
    <t>Compañía Minera Barbastro S.A.C.</t>
  </si>
  <si>
    <t xml:space="preserve"> Cierre de Bocaminas NV 415, NV 450, Depósito de Relaves y Construcción del Canal de Derivación Huarangayoc - UM Barbastro</t>
  </si>
  <si>
    <r>
      <rPr>
        <b/>
        <sz val="12"/>
        <color rgb="FF000000"/>
        <rFont val="Arial"/>
        <family val="2"/>
      </rPr>
      <t>Bocaminas 415 y 450:</t>
    </r>
    <r>
      <rPr>
        <sz val="12"/>
        <color indexed="8"/>
        <rFont val="Arial"/>
        <family val="2"/>
      </rPr>
      <t xml:space="preserve">
- Obras provisionales
- Obras preliminares
- Bocaminas
- Instrumentación
- Gastos generales y utilidad
</t>
    </r>
    <r>
      <rPr>
        <b/>
        <sz val="12"/>
        <color rgb="FF000000"/>
        <rFont val="Arial"/>
        <family val="2"/>
      </rPr>
      <t>Canal de derivación:</t>
    </r>
    <r>
      <rPr>
        <sz val="12"/>
        <color indexed="8"/>
        <rFont val="Arial"/>
        <family val="2"/>
      </rPr>
      <t xml:space="preserve">
- Obras provisionales
- Obras preliminares
- Movimiento de Tierras
- Obras de arte
</t>
    </r>
    <r>
      <rPr>
        <b/>
        <sz val="12"/>
        <color rgb="FF000000"/>
        <rFont val="Arial"/>
        <family val="2"/>
      </rPr>
      <t>Presa de relaves:</t>
    </r>
    <r>
      <rPr>
        <sz val="12"/>
        <color indexed="8"/>
        <rFont val="Arial"/>
        <family val="2"/>
      </rPr>
      <t xml:space="preserve">
- Obras provisionales
- Obras preliminares
- Movimiento de Tierras
- Cobertura de cierre
- Canal de coronación derecho
- Canales internos
- Poza de monitoreo
- Instrumentación</t>
    </r>
  </si>
  <si>
    <t>UM BARBASTRO (Proyecto MARTA)
(Huancavelica)</t>
  </si>
  <si>
    <t>5 Barbastro - Contrato CON-MA-011.pdf
págs. 1-3 de 59
Hoja de Información del Contrato
5 Barbastro - Acta Final Recepción.pdf
págs. 1  y 2
Acta de Recepción y Conformidad de Obra</t>
  </si>
  <si>
    <t>CON-MA-011</t>
  </si>
  <si>
    <t>Mario Obando Soto</t>
  </si>
  <si>
    <t>Jefe de Contratos</t>
  </si>
  <si>
    <t>mario.obando@minsur.com</t>
  </si>
  <si>
    <t>215-8330 (Anexo 3301)</t>
  </si>
  <si>
    <t>Contratamos a un tercero (MYR) para que lo ejecute.</t>
  </si>
  <si>
    <t>Instalación de Geosintéticos
Depósito de Relaves
Poza de Monitoreo</t>
  </si>
  <si>
    <t>Proyecto MARTA
(Huancavelica)</t>
  </si>
  <si>
    <t>Acta de Conformidad de Servicios</t>
  </si>
  <si>
    <t>_2017</t>
  </si>
  <si>
    <t>Servicio de Contrucción de Reforzamiento del Dique de la Laguna Huarangayocc</t>
  </si>
  <si>
    <t>Trabajos Preliminares
Movimiento de Tierras
Muro Huarangayocc
Muro de Gaviones
Badén y Sistema de Drenaje Superficial</t>
  </si>
  <si>
    <t>Contrato
Acta de Entrega Final de Obra</t>
  </si>
  <si>
    <t>CON-MA-008</t>
  </si>
  <si>
    <t>Rafael Armas Del Valle</t>
  </si>
  <si>
    <t>Superintendente General</t>
  </si>
  <si>
    <t>rafael.armas@barbastro.com.pe</t>
  </si>
  <si>
    <t>215-8330 (Anexo 3300, 3304)</t>
  </si>
  <si>
    <t>Trabajos preliminares
Muro de Concreto
Encofrado y desencofrado
Técnico de Laboratorio</t>
  </si>
  <si>
    <t>11A</t>
  </si>
  <si>
    <t>Minera Sillustani S.A.C.</t>
  </si>
  <si>
    <t>Limpieza de la laguna Choquene (anillo 6) y cierre del depósito de relaves
(zona 2) del proyecto Regina“ – Etapa 1</t>
  </si>
  <si>
    <r>
      <rPr>
        <b/>
        <sz val="12"/>
        <color rgb="FF000000"/>
        <rFont val="Arial"/>
        <family val="2"/>
      </rPr>
      <t>* Laguna Choquene Anillo 6</t>
    </r>
    <r>
      <rPr>
        <sz val="12"/>
        <color indexed="8"/>
        <rFont val="Arial"/>
        <family val="2"/>
      </rPr>
      <t xml:space="preserve">
    - Limpieza de laguna
    - Conducción de ojos de agua
</t>
    </r>
    <r>
      <rPr>
        <b/>
        <sz val="12"/>
        <color rgb="FF000000"/>
        <rFont val="Arial"/>
        <family val="2"/>
      </rPr>
      <t>' Depósito de Relaves Zona 2</t>
    </r>
    <r>
      <rPr>
        <sz val="12"/>
        <color indexed="8"/>
        <rFont val="Arial"/>
        <family val="2"/>
      </rPr>
      <t xml:space="preserve">
    - Rampa de Ingreso
    - Explanaciones 
    - Sistema de Subdrenaje
    - Tratamiento de la superficie Zona </t>
    </r>
    <r>
      <rPr>
        <b/>
        <sz val="12"/>
        <color rgb="FF000000"/>
        <rFont val="Arial"/>
        <family val="2"/>
      </rPr>
      <t>* Depósito de Relaves (Poza de Relaves)</t>
    </r>
    <r>
      <rPr>
        <sz val="12"/>
        <color indexed="8"/>
        <rFont val="Arial"/>
        <family val="2"/>
      </rPr>
      <t xml:space="preserve">
    - Explanaciones
    - Preparación de la Base
    - Dique proyectado
    - Rampa de ingreso
    - Disposición y Conformación en poza
    - Cobertura Tipo I.</t>
    </r>
  </si>
  <si>
    <t>UM REGINA
(Puno)</t>
  </si>
  <si>
    <t>Contrato
Adenda 1
Adenda 2</t>
  </si>
  <si>
    <t>CON-RE-023</t>
  </si>
  <si>
    <t>27/08/2018</t>
  </si>
  <si>
    <t>José Robles Martel /
Gonzalo Quijandría Fernández /
Ralph Alosilla - Velazco Vera</t>
  </si>
  <si>
    <t>Jefe de Contratos /
Representante Legal /
Representante Legal</t>
  </si>
  <si>
    <t>jose.robles@minsur.com /
______ /
______</t>
  </si>
  <si>
    <t>11B</t>
  </si>
  <si>
    <t>Limpieza de la laguna Choquene (anillo 6) y cierre del depósito de relaves
(zona 2) del proyecto Regina“ – Etapa 2</t>
  </si>
  <si>
    <r>
      <rPr>
        <b/>
        <sz val="12"/>
        <rFont val="Arial"/>
        <family val="2"/>
      </rPr>
      <t>* Laguna Choquene Anillo 6</t>
    </r>
    <r>
      <rPr>
        <sz val="12"/>
        <rFont val="Arial"/>
        <family val="2"/>
      </rPr>
      <t xml:space="preserve">
    - Cobertura Tipo II
</t>
    </r>
    <r>
      <rPr>
        <b/>
        <sz val="12"/>
        <rFont val="Arial"/>
        <family val="2"/>
      </rPr>
      <t>* Depósito de Relaves (Poza de Relaves)</t>
    </r>
    <r>
      <rPr>
        <sz val="12"/>
        <rFont val="Arial"/>
        <family val="2"/>
      </rPr>
      <t xml:space="preserve">
    - Cobertura Tipo I.</t>
    </r>
  </si>
  <si>
    <t>__/05/2019</t>
  </si>
  <si>
    <t>__/07/2019</t>
  </si>
  <si>
    <t>Servicio de Construcción de Pozas de Homogenización y Lodos - UM Regina</t>
  </si>
  <si>
    <t xml:space="preserve">Movimiento de Tierras
Obras Civiles
</t>
  </si>
  <si>
    <r>
      <rPr>
        <b/>
        <sz val="12"/>
        <rFont val="Arial"/>
        <family val="2"/>
      </rPr>
      <t>1. TRABAJOS PROVISIONALES Y PRELIMINARES</t>
    </r>
    <r>
      <rPr>
        <sz val="12"/>
        <rFont val="Arial"/>
        <family val="2"/>
      </rPr>
      <t xml:space="preserve">
    - Construcciones provisionales
    - Movilización de Campamento, Maquinaria y Herramientas
</t>
    </r>
    <r>
      <rPr>
        <b/>
        <sz val="12"/>
        <rFont val="Arial"/>
        <family val="2"/>
      </rPr>
      <t xml:space="preserve">2. OBRAS CIVILES
     - Nivelación y Acceso Perimetral
</t>
    </r>
    <r>
      <rPr>
        <sz val="12"/>
        <rFont val="Arial"/>
        <family val="2"/>
      </rPr>
      <t xml:space="preserve">         - Movimiento de Tierras
         - Geosintéticos
</t>
    </r>
    <r>
      <rPr>
        <b/>
        <sz val="12"/>
        <rFont val="Arial"/>
        <family val="2"/>
      </rPr>
      <t xml:space="preserve">     - Revestimiento</t>
    </r>
    <r>
      <rPr>
        <sz val="12"/>
        <rFont val="Arial"/>
        <family val="2"/>
      </rPr>
      <t xml:space="preserve">
         - Movimiento de Tierras
         - Geosintéticos
         - Protección y Seguridad.</t>
    </r>
  </si>
  <si>
    <t>CON-RE-017</t>
  </si>
  <si>
    <t>Marisol Silva Oporto /
Marco Pérez Briones</t>
  </si>
  <si>
    <t>Jefe de Contratos /
Ingeniero Residente Sillustani</t>
  </si>
  <si>
    <t>marisol.silva@minsur.com /
marco.perez@sillustani.com.pe</t>
  </si>
  <si>
    <t>215-8330 (anexo 3104) /
215-8330 (anexo 8382)</t>
  </si>
  <si>
    <t>Construcciones provisionales
Movilización
Trazo, Niveles y Replanteo
Movimiento de Tierras
Geosintéticos
Revestimiento</t>
  </si>
  <si>
    <t>Adenda 1 - Adicional &amp; ampliación de plazo</t>
  </si>
  <si>
    <t>Gonzalo Quijandría Fernández /
Ralph Alosilla - Velazco Vera</t>
  </si>
  <si>
    <t>______ /
______</t>
  </si>
  <si>
    <t>Adenda 3 - Ampliación de plazo</t>
  </si>
  <si>
    <t>Compañía Minera Raura S.A.</t>
  </si>
  <si>
    <t>CONSTRUCCIÓN DE ACCESOS Y PLATAFORMAS PRELIMINARES PARA LA CAMPAÑA DE PERFORACIÓN PARA EL SISTEMA DE MANEJO DE FILTRADO UM RAURA</t>
  </si>
  <si>
    <t>Movimiento de Tierras</t>
  </si>
  <si>
    <t>* Movilización &amp; Desmovilización
* Habilitado de acceso
  Nivelación de plataforma,
  Excavación de poza de lodos
 Suministro e instalación de sillt fences, geotextil no tejido y geomembrana HDPE en poza de lodos, 
  Corte y retiro de material desmonte para la conformación de talud,
   limpieza de canal, 
  calicatas
* Retiro de geomembrana, 
  Relleno y nivelación de plataforma con suelo natural y top soil,
  Revegetación de plataformas y accesos</t>
  </si>
  <si>
    <t>UM RAURA
(Huánuco &amp; Lima)</t>
  </si>
  <si>
    <t>POR INICIAR</t>
  </si>
  <si>
    <t>Jorge Luis Medina Villena</t>
  </si>
  <si>
    <t>Jefe de Contratos l Proyectos de Expansión</t>
  </si>
  <si>
    <t>jorge.medina@minsur.com</t>
  </si>
  <si>
    <t>215-8330 (anexo 8485),
951-292-392</t>
  </si>
  <si>
    <t>Estabilidad física de desmonteras</t>
  </si>
  <si>
    <r>
      <rPr>
        <b/>
        <sz val="12"/>
        <color rgb="FF000000"/>
        <rFont val="Arial"/>
        <family val="2"/>
      </rPr>
      <t>1. DEPÓSITO DE DESMONTE - YANCO I</t>
    </r>
    <r>
      <rPr>
        <sz val="12"/>
        <color indexed="8"/>
        <rFont val="Arial"/>
        <family val="2"/>
      </rPr>
      <t xml:space="preserve">
    - Reconfiguración de geometría del depósito de desmontes
       - Obras preliminares
       - Movimiento de Tierras
    - Estructuras de protección
       - Bermas de protección de accesos
       - Bermas en pie de taludes
       - Bermas de protección contra caída de rocas.
</t>
    </r>
    <r>
      <rPr>
        <b/>
        <sz val="12"/>
        <color rgb="FF000000"/>
        <rFont val="Arial"/>
        <family val="2"/>
      </rPr>
      <t>2. DEPÓSITO DE DESMONTE DE YANCO B</t>
    </r>
    <r>
      <rPr>
        <sz val="12"/>
        <color indexed="8"/>
        <rFont val="Arial"/>
        <family val="2"/>
      </rPr>
      <t xml:space="preserve">
    - Reconfiguración de geometría del depósito de desmontes
       - Obras preliminares
       - Movimiento de Tierras
    - Estructuras de protección
       - Muro de gaviones 
       - Movimiento de Tierras
       - Geosintéticos
       - Bermas de protección en accesos.</t>
    </r>
  </si>
  <si>
    <t>CON-RA-120</t>
  </si>
  <si>
    <r>
      <rPr>
        <sz val="12"/>
        <color theme="1"/>
        <rFont val="Arial"/>
        <family val="2"/>
      </rPr>
      <t xml:space="preserve">Aisen Eduardo Flores Aquino </t>
    </r>
    <r>
      <rPr>
        <sz val="12"/>
        <color rgb="FF0000FF"/>
        <rFont val="Arial"/>
        <family val="2"/>
      </rPr>
      <t xml:space="preserve">/
Luis Augusto Argüelles Macedo /
Ralph Alosilla - Velazco Vera /
</t>
    </r>
    <r>
      <rPr>
        <sz val="12"/>
        <color theme="1"/>
        <rFont val="Arial"/>
        <family val="2"/>
      </rPr>
      <t>Rafael Armas Del Valle</t>
    </r>
  </si>
  <si>
    <r>
      <rPr>
        <sz val="12"/>
        <color theme="1"/>
        <rFont val="Arial"/>
        <family val="2"/>
      </rPr>
      <t>Jefe de Contratos RAURA</t>
    </r>
    <r>
      <rPr>
        <sz val="12"/>
        <color rgb="FF0000FF"/>
        <rFont val="Arial"/>
        <family val="2"/>
      </rPr>
      <t xml:space="preserve"> /
Representante Legal /
Representante Legal /
</t>
    </r>
    <r>
      <rPr>
        <sz val="12"/>
        <color theme="1"/>
        <rFont val="Arial"/>
        <family val="2"/>
      </rPr>
      <t>__________</t>
    </r>
  </si>
  <si>
    <r>
      <rPr>
        <sz val="12"/>
        <color theme="1"/>
        <rFont val="Arial"/>
        <family val="2"/>
      </rPr>
      <t>aisen.flores@raura.com.pe /</t>
    </r>
    <r>
      <rPr>
        <sz val="12"/>
        <color rgb="FF0000FF"/>
        <rFont val="Arial"/>
        <family val="2"/>
      </rPr>
      <t xml:space="preserve">
_________ /
________ /
</t>
    </r>
    <r>
      <rPr>
        <sz val="12"/>
        <color theme="1"/>
        <rFont val="Arial"/>
        <family val="2"/>
      </rPr>
      <t>________</t>
    </r>
  </si>
  <si>
    <r>
      <rPr>
        <sz val="12"/>
        <color theme="1"/>
        <rFont val="Arial"/>
        <family val="2"/>
      </rPr>
      <t>442-8817 /</t>
    </r>
    <r>
      <rPr>
        <sz val="12"/>
        <color rgb="FF0000FF"/>
        <rFont val="Arial"/>
        <family val="2"/>
      </rPr>
      <t xml:space="preserve">
_______ /
_______ /
</t>
    </r>
    <r>
      <rPr>
        <sz val="12"/>
        <color theme="1"/>
        <rFont val="Arial"/>
        <family val="2"/>
      </rPr>
      <t xml:space="preserve">215-8330, 999-114-857 </t>
    </r>
  </si>
  <si>
    <t>Mota-Engil Perú S.A.</t>
  </si>
  <si>
    <t>Subcontrato privado de Obras de Arte
"Las Bambas - Construcción de Caminos de Carga Pesada", Paquete N° 04</t>
  </si>
  <si>
    <t xml:space="preserve">1. Obras Preliminares
2. Obras de Arte y Drenaje (Alcantarillas tipo TMC,
Alcantarillas tipo Marco
Sub drenes,
Cunetas
Muros de concreto ciclópeo).                                 </t>
  </si>
  <si>
    <t>Subcontrato</t>
  </si>
  <si>
    <t>Nuno Emanuel Garrido Figueiredo /
Francisco Rubén Darío Lora Morgan</t>
  </si>
  <si>
    <t>39A</t>
  </si>
  <si>
    <t>Adenda 1 - Reducción del monto contractual</t>
  </si>
  <si>
    <t>Consorcio Vial Sihuas</t>
  </si>
  <si>
    <t>Recarga granular estabilizado con producto químico (aditivo) (e=10cm) en una longitud de 111.50 km del tramo SIHUAS - HUACRACHUCO - CHONAS
(Servicio de Conservación Vial Inicial en la Carretera: Santa - Yuracmarca - Sihuas - Huacrachuco - San Pedro de Chonta - Uchiza - Emp.PE-5N-/Pte Huarochirí - Huallanca - Molinopampa)</t>
  </si>
  <si>
    <t>PRÉSTAMO DE CANTERA - EXTRACCIÓN Y APILAMIENTO
ZARANDEO Y MEJORAMIENTO DE BASE
TRANSPORTE Y CARGUÍO DE MATERIAL SELECCIONADO
RELLENO COMPACTADO C/EQUIPO MAT/PRÉSTAMO (e=10 cm)
CURADO CONFORMACIÓN DE ESTRUCTURA (SIERRA A
- Movilización de equipos
- Extracción de material granular
- Producción de material granular
- Carguío y transporte de material granular
- Colocación de material granular estabilizado con ADITIVO (e=10 cm)
- Curado de la recarga estabilizada
- Otros.</t>
  </si>
  <si>
    <t>(Ancash - Huacrachuco - San Martín - Amazonas)</t>
  </si>
  <si>
    <t>CS-CP Nº 006-2013</t>
  </si>
  <si>
    <t>Estuardo Patricio Chávez Ruiz /
Rafael Noriega Barreto</t>
  </si>
  <si>
    <t>Conservación Rutinaria de Tramo Pte. Huarochirí a Desv. La Pampa, en una Longitud aproximada de 16 Km
(Servicio de Conservación Rutinaria en la Carretera: Santa - Yuracmarca - Sihuas - Huacrachuco - San Pedro de Chonta - Uchiza - Emp.PE-5N-/Pte Huarochirí - Huallanca - Molinopampa)</t>
  </si>
  <si>
    <t>Bacheo en calzada
Limpieza de calzada y bermas
Limpieza de cunetas
Limpieza de alcantarillas
Limpieza de bajadas de agua
Limpieza de badenes
Limpieza y pintado de señalización vertical
Limpieza y pintado de elementos de seguridad (guardavías, delineadores)
Limpieza y pintado de puentes y pontones
Limpieza de derrumbes
Roce y limpieza de vegetación en el derecho de vía
Trabajos en Muro Seco
Desquinche
Trabajos de apoyo como ayudantes  de Máquinas
Trabajos de Control de Tránsito - Vigías
Vigilancia y cuidado de equipos
y otros (Emergencias, etc.)</t>
  </si>
  <si>
    <t>CS-CR Nº 021-2013</t>
  </si>
  <si>
    <t>Minera Suyamarca S.A.C.</t>
  </si>
  <si>
    <t>Recrecimiento Presa de Relaves Emplazamiento No. 3 - Explorador, Ampliación Sur</t>
  </si>
  <si>
    <t>Recrecimiento de Depósito de Relaves</t>
  </si>
  <si>
    <t>UM SELENE
(Apurímac)</t>
  </si>
  <si>
    <t>6 Suyamarca - Contrato Selene.pdf
pág. 15 de 37
ANEXO 1 "Propuesta Técnico - Económica"
Factura</t>
  </si>
  <si>
    <t>1002-0125-2011</t>
  </si>
  <si>
    <t>XSTRATA TINTAYA S.A.</t>
  </si>
  <si>
    <t>Prestación de Servicios de Movimiento de Tierras para el Proyecto Minero Las Bambas</t>
  </si>
  <si>
    <r>
      <rPr>
        <b/>
        <sz val="11"/>
        <color rgb="FF000000"/>
        <rFont val="Arial"/>
        <family val="2"/>
      </rPr>
      <t>1. Mantenimiento de carreteras internas</t>
    </r>
    <r>
      <rPr>
        <sz val="11"/>
        <color indexed="8"/>
        <rFont val="Arial"/>
        <family val="2"/>
      </rPr>
      <t xml:space="preserve">
    - Cambio de material Lastre
    - Escarificado, limpieza de cunetas, perfilado, colocación de bermas y compactación
    - Encauzamiento y limpieza del lecho del río
    - Colocación, ampliación y limpieza de Alcantarillas
    - Relastrado en tramos críticos, limpieza de cunetas y compactación
    - Mantenimiento de accesos a plataformas piezométricas
</t>
    </r>
    <r>
      <rPr>
        <b/>
        <sz val="11"/>
        <color rgb="FF000000"/>
        <rFont val="Arial"/>
        <family val="2"/>
      </rPr>
      <t>2. Mantenimiento de carretera Las Bambas - Mara</t>
    </r>
    <r>
      <rPr>
        <sz val="11"/>
        <color indexed="8"/>
        <rFont val="Arial"/>
        <family val="2"/>
      </rPr>
      <t xml:space="preserve">
    - Escarificado, limpieza de cunetas, perfilado, colocación de bermas y bermas
    - Cambio de material Lastre
    - Limpieza de derrumbes
    - Desquinche de talud, construcción de banquetas en tramos críticos y muros de contención
    - Ampliación de curvas de volteo
</t>
    </r>
    <r>
      <rPr>
        <b/>
        <sz val="11"/>
        <color rgb="FF000000"/>
        <rFont val="Arial"/>
        <family val="2"/>
      </rPr>
      <t>3. Servicio a otras áreas (servicios eventuales)</t>
    </r>
    <r>
      <rPr>
        <sz val="11"/>
        <color indexed="8"/>
        <rFont val="Arial"/>
        <family val="2"/>
      </rPr>
      <t xml:space="preserve">
    - Relaciones Comunitarias
    - Geología
    - Medio Ambiente.</t>
    </r>
  </si>
  <si>
    <t>CB-244/09</t>
  </si>
  <si>
    <t>Jorge Apaza</t>
  </si>
  <si>
    <t>Superintendente de Administración del Proyecto Las Bambas</t>
  </si>
  <si>
    <t>Prestación de Servicios de Mantenimiento de la Carretera Imata - Condoroma - Yauri y de Movimiento de Tierras</t>
  </si>
  <si>
    <t>CT-065/11</t>
  </si>
  <si>
    <t>Helard Zárate Paredes /
José Zúñiga Moreno</t>
  </si>
  <si>
    <t>Superintendente de Servicios /
Coordinador de Obras Civiles</t>
  </si>
  <si>
    <t>hzarate@xstratacopper.com.pe /
jizuniga@xstratacopper.com.pe</t>
  </si>
  <si>
    <t>+51 84 301150 (anexo 2512) /
+51 84 301150 (anexo 2516)</t>
  </si>
  <si>
    <t>Servicios de Movimiento de Tierras para Proyectos Antapaccay y Corccohuayco</t>
  </si>
  <si>
    <t>Adenda 1 - Actualización de tarifas iniciales &amp; Adicional al Contrato
Adenda 2 - Ampliación de plazo (corrección de fechas)</t>
  </si>
  <si>
    <t>Mejoramiento del Sistema de Drenaje Ruta 5 Desvío Ccapacmarca-Desvío Paruro</t>
  </si>
  <si>
    <t>Mejoramiento de Sistema de Drenaje</t>
  </si>
  <si>
    <t>CB-031/10</t>
  </si>
  <si>
    <t>Rubén Zevallos</t>
  </si>
  <si>
    <t>Gerente Técnico del Proyecto Las Bambas</t>
  </si>
  <si>
    <t>+51 01 3722233 (anexo 4147)</t>
  </si>
  <si>
    <t>Votorantim Metais - Cajamarquilla S.A.</t>
  </si>
  <si>
    <t>Resanado de la Geomembrana dañada en la Poza Jarosita 3 y retiro de la tierra contaminada</t>
  </si>
  <si>
    <r>
      <rPr>
        <sz val="12"/>
        <rFont val="Arial"/>
        <family val="2"/>
      </rPr>
      <t>Movimiento de Tierras</t>
    </r>
  </si>
  <si>
    <t>Obras Preliminares
Movimiento de Tierras
Geosintéticos</t>
  </si>
  <si>
    <t>(Lima)</t>
  </si>
  <si>
    <t>VM-CJM/1010/076/2015</t>
  </si>
  <si>
    <t>__/1/2016</t>
  </si>
  <si>
    <t>_2016</t>
  </si>
  <si>
    <t>Luis Alberto Mogrovejo De Las Casas /
Kathya Rivera Romaní</t>
  </si>
  <si>
    <t>Gerente de Compras y Logística /
Gerente de Seguridad, Salud y Medio Ambiente</t>
  </si>
  <si>
    <t>Construcción de la Cobertura para el Cierre de la Poza Jarosita N°01</t>
  </si>
  <si>
    <r>
      <t xml:space="preserve">Movimiento de Tierras
</t>
    </r>
    <r>
      <rPr>
        <sz val="12"/>
        <rFont val="Arial"/>
        <family val="2"/>
      </rPr>
      <t>Obras Civiles</t>
    </r>
  </si>
  <si>
    <t>- Remoción del pasivo ambiental que se encuentra ubicado dentro del área de la RdC.
- Conformación de una plataforma de relleno con el material del pasivo ambiental sobre los niveles actuales de la PJ1
- Conformación de la cobertura final de cierre para la PJ1
- Disposición de las obras hidráulicas de manejo de aguas superficiales.</t>
  </si>
  <si>
    <t>Contrato
Acta de Recepción y Conformidad de Obra
Acta Recepción
Acta Entrega Obra
Facturas</t>
  </si>
  <si>
    <t>VM-CJM/1010/031/2011</t>
  </si>
  <si>
    <t>Luis Alberto Mogrovejo De Las Casas /
Jean Pierre Padrón Giraldo</t>
  </si>
  <si>
    <t>Gerente de Compras y Logística /
____________</t>
  </si>
  <si>
    <t>Cierre de la Poza Jarositas N° 4</t>
  </si>
  <si>
    <t>Trabajos Preliminares
Movimiento de Tierras
Materiales Geosintéticos
Sistema de Extracción y Bombeo</t>
  </si>
  <si>
    <t>VM-CJM-1010-161-2012</t>
  </si>
  <si>
    <t>Luis Alberto Mogrovejo De Las Casas /
Carlos Fernández Herrera</t>
  </si>
  <si>
    <t>Gerente de Compras y Logística /
Gerente de Proyectos</t>
  </si>
  <si>
    <t>Construcción de Sistema de Impermeabilización Pond 2, Construcción de Canal y Revestimiento</t>
  </si>
  <si>
    <r>
      <t xml:space="preserve">Obras Preliminares
Movimiento de Tierras
Suministro </t>
    </r>
    <r>
      <rPr>
        <sz val="12"/>
        <color rgb="FF000000"/>
        <rFont val="Arial"/>
        <family val="2"/>
      </rPr>
      <t>(Geotextil, tuberías, etc.)</t>
    </r>
    <r>
      <rPr>
        <b/>
        <sz val="12"/>
        <color rgb="FF000000"/>
        <rFont val="Arial"/>
        <family val="2"/>
      </rPr>
      <t xml:space="preserve">
Instalación </t>
    </r>
    <r>
      <rPr>
        <sz val="12"/>
        <color rgb="FF000000"/>
        <rFont val="Arial"/>
        <family val="2"/>
      </rPr>
      <t>(Geotextil, Geomembrana, tuberías, etc.)</t>
    </r>
  </si>
  <si>
    <t>Contrato
Acta de Recepción y Conformidad de Obra</t>
  </si>
  <si>
    <t>VM-CJM/1010/057/2015</t>
  </si>
  <si>
    <r>
      <rPr>
        <b/>
        <sz val="12"/>
        <rFont val="Arial"/>
        <family val="2"/>
      </rPr>
      <t>Movimiento de Tierras:</t>
    </r>
    <r>
      <rPr>
        <sz val="12"/>
        <rFont val="Arial"/>
        <family val="2"/>
      </rPr>
      <t xml:space="preserve">
 - Corte con maquinaria
 -  Acarreo de material</t>
    </r>
  </si>
  <si>
    <t>Adenda 1 - Adicional al Contrato (Movimiento de Tierras)</t>
  </si>
  <si>
    <t>VM-CJM/1010/057/2015-A1</t>
  </si>
  <si>
    <t>Estabilidad de Talud Línea Férrea</t>
  </si>
  <si>
    <r>
      <rPr>
        <b/>
        <sz val="12"/>
        <rFont val="Arial"/>
        <family val="2"/>
      </rPr>
      <t>1. Trabajos Preliminares</t>
    </r>
    <r>
      <rPr>
        <sz val="12"/>
        <rFont val="Arial"/>
        <family val="2"/>
      </rPr>
      <t xml:space="preserve">
    - Movilización/Desmovilización de equipos
    - Implementación del campamento
</t>
    </r>
    <r>
      <rPr>
        <b/>
        <sz val="12"/>
        <rFont val="Arial"/>
        <family val="2"/>
      </rPr>
      <t>2. Movimiento de Tierras</t>
    </r>
    <r>
      <rPr>
        <sz val="12"/>
        <rFont val="Arial"/>
        <family val="2"/>
      </rPr>
      <t xml:space="preserve">
    - Remoción de material suelto
    - Corte de talud
    - Relleno con material propio/material de préstamo.</t>
    </r>
  </si>
  <si>
    <t>Contrato
Acta de Entrega de Obra</t>
  </si>
  <si>
    <t>VM-CJM/1010/202/2010</t>
  </si>
  <si>
    <t>Luis Alberto Mogrovejo De Las Casas /
María Vera Bianco</t>
  </si>
  <si>
    <t>Gerente de Compras y Logística /
Gerente Legal</t>
  </si>
  <si>
    <t>Reconfiguración del Talud de la Poza Goetita 5</t>
  </si>
  <si>
    <t>Obras Preliminares
Movimiento de Tierras
Geosintéticos
Gaviones
Tuberías</t>
  </si>
  <si>
    <t>Contrato
Acta de Conformidad</t>
  </si>
  <si>
    <t>VM-CJM/1010/051/2015</t>
  </si>
  <si>
    <t>Contratamos a un tercero (SIGSA) para que lo ejecute.</t>
  </si>
  <si>
    <t>Suministro e Instalación de Geosintéticos</t>
  </si>
  <si>
    <t>Contrato
OS</t>
  </si>
  <si>
    <t>OS 2015-09-1429</t>
  </si>
  <si>
    <t>Rehabilitación y Reforzamiento del Puente Ferroviario</t>
  </si>
  <si>
    <t>a) Descolmatación del cauce principal (reorientación el flujo principal del río)
b) Defensa Ribereña (para ambos márgenes sectorizados dentro del puente, y construcción de diques en las márgenes)
c) Defensa de pilares y estribos en base a enrocado.
Incluye Expediente Técnico:
- Estudio para descolmatación del Río Rímac en el sector Huachipa y defensa del Puente Ferroviario
- Planteamiento de Obras Hidráulicas.</t>
  </si>
  <si>
    <t>VM-CJM/1010/113/2009</t>
  </si>
  <si>
    <t>Paulo Leal Nogueira /
Leandro Soares Mereu</t>
  </si>
  <si>
    <t>Gerente General /
Gerente de Producción</t>
  </si>
  <si>
    <t>Construcción de Enrocado en la Planta de Agua de Votorantim Metais</t>
  </si>
  <si>
    <r>
      <rPr>
        <b/>
        <sz val="12"/>
        <color rgb="FF000000"/>
        <rFont val="Arial"/>
        <family val="2"/>
      </rPr>
      <t>1. OBRAS PRELIMINARES</t>
    </r>
    <r>
      <rPr>
        <sz val="12"/>
        <color indexed="8"/>
        <rFont val="Arial"/>
        <family val="2"/>
      </rPr>
      <t xml:space="preserve">
    - Movilización y Desmovilización
    - Trazo y Replanteo preliminar
    - Bombeo de agua en zanja para empotramiento
</t>
    </r>
    <r>
      <rPr>
        <b/>
        <sz val="12"/>
        <color rgb="FF000000"/>
        <rFont val="Arial"/>
        <family val="2"/>
      </rPr>
      <t>2. MOVIMIENTO DE TIERRAS</t>
    </r>
    <r>
      <rPr>
        <sz val="12"/>
        <color indexed="8"/>
        <rFont val="Arial"/>
        <family val="2"/>
      </rPr>
      <t xml:space="preserve">
     - Conformación de Dique de Encausamiento
     - Mantenimiento de Dique de Encausamiento
     - Excavación de zanja para empotramiento de Dique enrocado
     - Suministro Carguío y Transporte de Material de Cantera para Dique enrocado
     - Conformación de Dique Enrocado
     - Explanación de Material Excedente proveniente de zanja
     - Explanación de Material de Encausamiento
     - Concreto </t>
    </r>
  </si>
  <si>
    <t>VM-CJM-1010-008-2012
0048/12-CJM</t>
  </si>
  <si>
    <t>Carlos Mansueto Fernández Herrera /
Jean Pierre Padrón Giraldo</t>
  </si>
  <si>
    <t>Gerente de Proyectos /
Gerente de Desarrollo ____</t>
  </si>
  <si>
    <t>Construcción de Barraje en la Planta de Agua de Votorantim Metais - Cajamarquilla</t>
  </si>
  <si>
    <r>
      <rPr>
        <b/>
        <sz val="12"/>
        <color rgb="FF000000"/>
        <rFont val="Arial"/>
        <family val="2"/>
      </rPr>
      <t>1. TRABAJOS PRELIMINARES</t>
    </r>
    <r>
      <rPr>
        <sz val="12"/>
        <color indexed="8"/>
        <rFont val="Arial"/>
        <family val="2"/>
      </rPr>
      <t xml:space="preserve">
     - Movilización y Desmovilización de equipo
     - Almacén, Oficina y Caseta de Guardianía
     - Accesos para la construcción
</t>
    </r>
    <r>
      <rPr>
        <b/>
        <sz val="12"/>
        <color rgb="FF000000"/>
        <rFont val="Arial"/>
        <family val="2"/>
      </rPr>
      <t>2. OBRAS DE DESVÍO</t>
    </r>
    <r>
      <rPr>
        <sz val="12"/>
        <color indexed="8"/>
        <rFont val="Arial"/>
        <family val="2"/>
      </rPr>
      <t xml:space="preserve">
     - Relleno compactado c/ equipo Mat/Propio
     - Geomembrana
     - Enrocado de protección de talud ataguía
     - Eliminación de ataguía
</t>
    </r>
    <r>
      <rPr>
        <b/>
        <sz val="12"/>
        <color rgb="FF000000"/>
        <rFont val="Arial"/>
        <family val="2"/>
      </rPr>
      <t>3. BARRAJE FIJO</t>
    </r>
    <r>
      <rPr>
        <sz val="12"/>
        <color indexed="8"/>
        <rFont val="Arial"/>
        <family val="2"/>
      </rPr>
      <t xml:space="preserve">
     - Demolición de barraje antiguo
     - Excavación en conglomerado con agua
     - Relleno compactado c/equipo mat/propio
     - Concreto
     - Acero de refuerzo
     - Emboquillado de piedra
     - Carguío y transporte de material excedente
     - Barraje antiguo</t>
    </r>
  </si>
  <si>
    <t>VM-CJM-1010-155-2012
7802/12-CJM</t>
  </si>
  <si>
    <t>Remediación de Material en DTMR3 y DTRM1</t>
  </si>
  <si>
    <t>Remediación de Material</t>
  </si>
  <si>
    <t>3 Votorantim Metais - OS Remediación DTMR1 y DTMR3.pdf
pág. 2 de 17
ORDEN DE COMPRA</t>
  </si>
  <si>
    <t>OC 4509176651</t>
  </si>
  <si>
    <t>2016_</t>
  </si>
  <si>
    <t>Paola Martínez</t>
  </si>
  <si>
    <t>Comprador</t>
  </si>
  <si>
    <t>Limpieza Total Sumidero Sección 75</t>
  </si>
  <si>
    <t>Limpieza de Sumidero</t>
  </si>
  <si>
    <t>4 Votorantim Metais - OS Limpieza Sumidero.pdf
pág. 2 de 17
ORDEN DE COMPRA</t>
  </si>
  <si>
    <t>OC 4509419190</t>
  </si>
  <si>
    <t>Ronald Ramírez</t>
  </si>
  <si>
    <t>RONALD.RAMIREZ@VMETAIS.COM.PE</t>
  </si>
  <si>
    <t>317-2200 (anexo 234)</t>
  </si>
  <si>
    <t>Hortifrut-Tal S.A.C.</t>
  </si>
  <si>
    <t>Área Usuaria:
Municipalidad Distrital de Chao</t>
  </si>
  <si>
    <t>Creación del Centro Infantil de atención Integral Diurna Cuna-Más en "Las Poncianas" de Nuevo Chao II Valle de Dios del Distrito de Chao - Provincia de Virú - Departamento de La Libertad</t>
  </si>
  <si>
    <t>Movimiento de Tierras
'Obras Civiles</t>
  </si>
  <si>
    <t>Estructuras
Arquitectura
Instalaciones Sanitarias
Instalaciones Eléctricas</t>
  </si>
  <si>
    <t>(La Libertad)</t>
  </si>
  <si>
    <t>Acta Otorgamiento Buena Pro
Contrato</t>
  </si>
  <si>
    <r>
      <t xml:space="preserve">Rafael Antonio Quevedo Sturla /
Fernando Javier Méndez Gschwend /
</t>
    </r>
    <r>
      <rPr>
        <sz val="12"/>
        <rFont val="Arial"/>
        <family val="2"/>
      </rPr>
      <t>Haydee Margot Pino Blanco</t>
    </r>
  </si>
  <si>
    <r>
      <t xml:space="preserve">Representante Legal /
Representante Legal /
</t>
    </r>
    <r>
      <rPr>
        <sz val="12"/>
        <rFont val="Arial"/>
        <family val="2"/>
      </rPr>
      <t>(Infraestructura MDCH)</t>
    </r>
  </si>
  <si>
    <r>
      <t xml:space="preserve">___ /
___ /
</t>
    </r>
    <r>
      <rPr>
        <sz val="12"/>
        <rFont val="Arial"/>
        <family val="2"/>
      </rPr>
      <t>942-980-715</t>
    </r>
  </si>
  <si>
    <t>Compañía Minera Los Andes Perú Gold S.A.C.</t>
  </si>
  <si>
    <t>Arrendamiento de Maquinaria y Equipos</t>
  </si>
  <si>
    <t>ABA-026-2017</t>
  </si>
  <si>
    <t>Máquina seca</t>
  </si>
  <si>
    <t>José Antonio Salazar Ramírez</t>
  </si>
  <si>
    <t>Rutas de Lima S.A.C.</t>
  </si>
  <si>
    <t>Paquete N°2 de las obras menores de Panamericana Norte: IVN Asháninkas, Paraderos (KM 11+400, KM 6+000 y KM 8+600) y la Vía Auxiliar Purina en el IVD Naranjal</t>
  </si>
  <si>
    <t>Movimiento de Tierras
Pavimentos
Señalización y Seguridad Vial
Urbanismo
Semaforización
Paisajismo
Plan de Manejo Ambiental
Sardineles
Separador Lateral
Pozo Sumidero
Estructura de Descanso</t>
  </si>
  <si>
    <t>CT-081-RDL-2019</t>
  </si>
  <si>
    <t>26/09/2020</t>
  </si>
  <si>
    <t>Roxana Cáceres</t>
  </si>
  <si>
    <t>Subcontratos</t>
  </si>
  <si>
    <t>roxana.caceres@rutasdelima.pe</t>
  </si>
  <si>
    <t>640-4216, 965-391-361</t>
  </si>
  <si>
    <t>Paradero KM 4+950
Puesta a Punto Chimpu Ocllo
Movimiento de Tierras, y más</t>
  </si>
  <si>
    <t>Adenda 3</t>
  </si>
  <si>
    <t>Adenda 4</t>
  </si>
  <si>
    <t>Salida del Derby - Eje 1</t>
  </si>
  <si>
    <t>Adenda 5</t>
  </si>
  <si>
    <t>Inmobiliaria Almonte S.A.C.</t>
  </si>
  <si>
    <t>Obras de Habilitación Urbana, Distribución de Agua y Alcantarillado y Alumbrado Público en Zona Ladera-Proyecto 3</t>
  </si>
  <si>
    <t>Obras provisionales y preliminares
Obras de reubicación de reservorio
Obras de equipamiento de pozo 2
Obras viales
Obras sanitarias
Obras eléctricas
Obras de señalización horizontal y vertical</t>
  </si>
  <si>
    <t>Precios Unitarios
&amp; Suma Alzada</t>
  </si>
  <si>
    <t>Dither Loayza Schuler /
Ángela Núñez Ronceros</t>
  </si>
  <si>
    <t>Gerente General /
Jefe de Proyecto</t>
  </si>
  <si>
    <t>dloayza@gym.com.pe /
anunezr@gym.com.pe</t>
  </si>
  <si>
    <t>206-7206, 943-175-161 /
206-7206 (Anexo 7728), 942-874-724</t>
  </si>
  <si>
    <t>UM RAURA</t>
  </si>
  <si>
    <t>UM PUCAMARCA</t>
  </si>
  <si>
    <t>Estabilidad Hidrológica de desmonteras y hallazgos</t>
  </si>
  <si>
    <t>Obras civiles</t>
  </si>
  <si>
    <r>
      <rPr>
        <b/>
        <sz val="12"/>
        <color rgb="FF000000"/>
        <rFont val="Arial"/>
        <family val="2"/>
      </rPr>
      <t xml:space="preserve">1. DEPÓSITO DE DESMONTE -RAURA
2. DEPÓSITO DE DESMONTE DE CATUVA
3. DEPÓSITO DE DESMONTE DE YANAMINA
</t>
    </r>
    <r>
      <rPr>
        <sz val="12"/>
        <color indexed="8"/>
        <rFont val="Arial"/>
        <family val="2"/>
      </rPr>
      <t xml:space="preserve">    - Reconfiguración de geometría del depósito de desmontes
       - Obras preliminares
       - Movimiento de Tierras
    - Estructuras de protección
       - Bermas de protección de accesos
       - Bermas en pie de taludes
       - Bermas de protección contra caída de rocas.
       - Muro de gaviones 
       - Geosintéticos
</t>
    </r>
    <r>
      <rPr>
        <b/>
        <sz val="12"/>
        <color indexed="8"/>
        <rFont val="Arial"/>
        <family val="2"/>
      </rPr>
      <t>4. HALLAZGO NIÑO PERDIDO
5. HALLAZGO NIÑO COCHA</t>
    </r>
  </si>
  <si>
    <t>CON-RA-135</t>
  </si>
  <si>
    <t>Mantenimiento de Poza PLS (Sectores este) y Poza PGE</t>
  </si>
  <si>
    <t>UM PUCAMARCA
(Tácna &amp; Lima)</t>
  </si>
  <si>
    <t>CON-PU-087</t>
  </si>
  <si>
    <t>1'979,850.56</t>
  </si>
  <si>
    <t>Miguel Nuñez</t>
  </si>
  <si>
    <t>Gerente de proyectos</t>
  </si>
  <si>
    <t>miguel.nunez@raura.com.pe</t>
  </si>
  <si>
    <t>Superintendente de operaciones</t>
  </si>
  <si>
    <t>Bryners Sarmiento Latorre</t>
  </si>
  <si>
    <t>bryners.sarmiento@minsur.com</t>
  </si>
  <si>
    <t>Item</t>
  </si>
  <si>
    <t>Empresa Contratante</t>
  </si>
  <si>
    <t>Detalle del proyecto</t>
  </si>
  <si>
    <t>Monto del Contrato</t>
  </si>
  <si>
    <t>Consorcio SI % - NO</t>
  </si>
  <si>
    <t>Partícipes Consorcios</t>
  </si>
  <si>
    <t>Facturación     según part. %</t>
  </si>
  <si>
    <t>Avance %</t>
  </si>
  <si>
    <t>MINSUR S. A.</t>
  </si>
  <si>
    <t>MANTENIMIENTO DE POZAS PLS (SECTOR ESTE) Y PGE</t>
  </si>
  <si>
    <t>NO</t>
  </si>
  <si>
    <t>CONTRAMIES EIRL</t>
  </si>
  <si>
    <t>ALQUILER DE RODILLO Y EXCAVADORA OBRA MEJORAMIENTO DE CARRETERA OYON - AMBO TRAMO II // ALQUILER DE CARGADOR FRONTAL Y MOTONIVELAODRA PROYECTO SAN MIGUEL LIMA</t>
  </si>
  <si>
    <t>MELSAR SOCIEDAD ANONIMA CERRADA</t>
  </si>
  <si>
    <t>ALQUILER MAQUINARIA CANTERA MICHELOT / SERVICIO DE TRANSPORTE CON CAMA BAJA 4EJES</t>
  </si>
  <si>
    <t>PEVOEX CONTRATISTAS S.A.C.</t>
  </si>
  <si>
    <t>ALQUILER MAQUINARIA/ SERVICIO DE TRANSPORTE CON CAMA BAJA 4EJES</t>
  </si>
  <si>
    <t>RUTAS DE LIMA S.A.C.</t>
  </si>
  <si>
    <t>CIA MINERA RAURA S A</t>
  </si>
  <si>
    <t>ESTABILIDAD FISICA DE DESMONTERAS</t>
  </si>
  <si>
    <t>HORTIFRUT-TAL S.A.C.</t>
  </si>
  <si>
    <t>“CREACIÓN DEL CENTRO INFANTIL DE ATENCIÓN INTEGRAL DIURNA CUNA-MÁS PARA NIÑOS MENORES DE 36 MESES EN LAS PONCIANAS DE NUEVO CHAO II, VALLE DE DIOS DEL DISTRITO DE CHAO - PROVINCIA DE VIRÚ, DEPARTAMENTO DE LA LIBERTAD” CON CÓDIGO DE INVERSIÓN N°2431703.</t>
  </si>
  <si>
    <t>MAQUINARIAS DEL CENTRO S.A.C. - MAQUICEN</t>
  </si>
  <si>
    <t>ALQUILER DE MAQUINARIAS</t>
  </si>
  <si>
    <t>CONPER PERU SAC</t>
  </si>
  <si>
    <t>CONSORCIO REDRAM - TUCUMANN</t>
  </si>
  <si>
    <t>ALQUILER DE MAQUINARIAS EN TERMINAL PORTUARIO SALAVERRY</t>
  </si>
  <si>
    <t>INMOBILIARIA ALMONTE S.A.C.</t>
  </si>
  <si>
    <t>HABILITACIÓN URBANA, DISTRIBUCIÓN DE AGUA Y ALCANTARILLADO, ALUMBRADO PÚBLICO, OBRAS CIVILES Y ELÉCTRICAS POZO 2.</t>
  </si>
  <si>
    <t>HS INGENIERIA Y CONSTRUCCION MINING S.R.L</t>
  </si>
  <si>
    <t>GRUPO BUENAVENTURA - GORE APURIMAC</t>
  </si>
  <si>
    <t>MEJORAMIENTO DEL SERVICIO DE TRANSITABILIDAD VEHICULAR Y PEATONAL EN 21 VÍAS LOCALES EN ZONA URBANA DEL DISTRITO DE ANTABAMBA, PROVINCIA DE ANTABAMBA – APURÍMAC”</t>
  </si>
  <si>
    <t>CONSORCIO BESALCO STRACON</t>
  </si>
  <si>
    <t>CONSTRUCCIÓN DE LOS DIQUES TRANSVERSALES DE RETENCIÓN QUEBRADA SAN IDELFONSO</t>
  </si>
  <si>
    <t>1P325-069 CONSTRUCCION DE DEFENSAS RIBEREÑAS EN SECTOR SAN DAMIAN - HUARMEY</t>
  </si>
  <si>
    <t>TOTAL</t>
  </si>
  <si>
    <t>Saldo Correspondiente al Titular (S/ )</t>
  </si>
  <si>
    <t xml:space="preserve">CONSORCIO CONSTRUCTOR DEL PUERTO DE SAN MARTIN  </t>
  </si>
  <si>
    <t>ALQUILER DE MAQUINARIAS EN PISCO - CONSORCIO CONSTRUCTOR DEL PUERTO SAN MARTIN</t>
  </si>
  <si>
    <t>SAKEI CONSTRUCTORA SAC</t>
  </si>
  <si>
    <t>SERVICIO DE ALQUILER DE TRACTOR ORUGA  D8T TERMINAL MUTIPROPOSITO CHANCAY</t>
  </si>
  <si>
    <t>CÍA ANTAPACCAY S.A.</t>
  </si>
  <si>
    <t>ARRENDAMIENTO DE EQUIPOS PARA TRABAJOS DE MOVIMIENTO DE TIERRAS Y CONSERVACION VIAL</t>
  </si>
  <si>
    <t>MMG LAS BAMBAS S.A. - HHR</t>
  </si>
  <si>
    <t>COMPAÑÍA MINERA BARBASTRO S.A.C.</t>
  </si>
  <si>
    <t>CIERRE DE BOCAMINAS NV415, NV450, DEPÓSITO DE RELAVES Y CONSTRUCCIÓN DEL CANAL DE DERIVACIÓN DE HUARANGAYOC - MINA MARTA
* ADICIONAL CIERRE CRUCERO 491 SW</t>
  </si>
  <si>
    <t>MMG LAS BAMBAS S.A. - EMERGENCIA</t>
  </si>
  <si>
    <t>SERVICIO DE ATENCIÓN DE EMERGENCIAS EN LAS VIAS HHR Y RUTA 5</t>
  </si>
  <si>
    <t>CONSORCIO LACRAMARCA 2</t>
  </si>
  <si>
    <t>ELABORACION DE FICHA TECNICA Y EJECUCION DE LA ACTIVIDAD DE DESCOLMATACION DEL RIO LACRAMARCA, TRAMO 1: KM4+480 AL KM 13+320 TRAMO 2: PALAMENCO 3960M DISTRITO CHIMBOTE</t>
  </si>
  <si>
    <t>SI</t>
  </si>
  <si>
    <t>MMG LAS BAMBAS S.A. - GUARDAVIAS</t>
  </si>
  <si>
    <t>SERVICIO DE INSTALACIÓN DE GUARDAVIAS</t>
  </si>
  <si>
    <t>COMPAÑÍA MINERA SILLUSTANI SA</t>
  </si>
  <si>
    <t>LIMPIEZA DE LA LAGUNA CHOQUENE (ANILLO 6) Y CIERRE DEL DEPOSITO DE RELAVES (ZONA 2) DEL PROYECTO REGINA ETAPA 2</t>
  </si>
  <si>
    <t>EPSEMHCO</t>
  </si>
  <si>
    <t xml:space="preserve">ALQUILER DE MAQUINARIA A EPSEMHCO - TINTAYA </t>
  </si>
  <si>
    <t>ICONSER SAC</t>
  </si>
  <si>
    <t>ALQUILER DE EQUIPOS A ICONSER SAC</t>
  </si>
  <si>
    <t>CAFISAC</t>
  </si>
  <si>
    <t>ALQUILER DE EQUIPOS A CARBONELL FIGUERAS SAC</t>
  </si>
  <si>
    <t>EQUIPOS ATENUZ</t>
  </si>
  <si>
    <t>ALQUILER DE EQUIPOS PROYECTO TINTAYA</t>
  </si>
  <si>
    <t>JRC INGENIEROS</t>
  </si>
  <si>
    <t>ALQUILER DE EQUIPOS SEDE ISCAYCRUZ - JRC</t>
  </si>
  <si>
    <t>COMIN SA</t>
  </si>
  <si>
    <t xml:space="preserve">SERVICIO DE ALQUILER DE EQUIPOS PARA CONSTRUCCION DEL TSF MARCOBRE - MINA JUSTA </t>
  </si>
  <si>
    <t>MJW CONSTRUCCIONES</t>
  </si>
  <si>
    <t>ALQUILER DE EQUIPOS TINTAYA - ANTAPACCAY</t>
  </si>
  <si>
    <t>MMG LAS BAMBAS</t>
  </si>
  <si>
    <t>MANTENIMIENTO DE  TRUCK SHOP - OBRAS MISCELANIAS - ALQUILER EQUIPOS</t>
  </si>
  <si>
    <t>MMTP</t>
  </si>
  <si>
    <t>RECRECIMIENTO DE PRESA DE MINA RECUPERADA</t>
  </si>
  <si>
    <t>ALQUILER DE CARGADOR TRACTOR DE ORUGA PROYECTO HUACHO SAYAN</t>
  </si>
  <si>
    <t>ALQUILER DE EQUIPOS A ICONSER SAC CONSTRUCCION DE POZA DE CONTINGENCIA N° 02</t>
  </si>
  <si>
    <t>COMPAÑÍA MINERA RAURA SA</t>
  </si>
  <si>
    <t>LIMPIEZA Y COBERTURA PARA REMEDIACIÓN EN TALUD TOLVA DE GRUESOS - CABALLOCOCHA</t>
  </si>
  <si>
    <t xml:space="preserve">CARGUIO Y TRANSPORTE DE DESMONTE DE NIÑO PERDIDO // ALQUILER DE EQUIPOS DOBLE TURNO RAURA NUEVA </t>
  </si>
  <si>
    <t>ARIDS RIBAS SAC / MELSAR S.A.C</t>
  </si>
  <si>
    <t>AFC INGENIEROS SRL / CYS RODEMA EIRL</t>
  </si>
  <si>
    <t>SERVICIO DE ALQUILER DE TRACTOR CAT PARA DESCOLMATACION DEL RIO RIMAC / MOVILIZACION Y DESOVILIZACION DE EQUIPO</t>
  </si>
  <si>
    <t>SAN DIEGO MAQUINARIAS EIRL</t>
  </si>
  <si>
    <t>ALQUILER DE EQUIPO EN PUNTA NEGRA LIMA</t>
  </si>
  <si>
    <t>OHL S.A.SUC.DEL PERU</t>
  </si>
  <si>
    <t>ALQUILER DE TRACTOR SOBRE ORUGA DE 38TN - PROYECTO QUELLAVECO OBRA BY PASS ROAD CONSTRUCCION</t>
  </si>
  <si>
    <t xml:space="preserve">RESUMEN EXPERIENCIA GENERAL </t>
  </si>
  <si>
    <t>DETALLE</t>
  </si>
  <si>
    <t>% PARTICIPACIÓN</t>
  </si>
  <si>
    <t>BOUBY Ingeniería &amp; Construcción</t>
  </si>
  <si>
    <t>MONTO CONTRATADO</t>
  </si>
  <si>
    <t>EXPERIENCIA GENERAL (EXPERIENCIA EN LA ACTIVIDAD)</t>
  </si>
  <si>
    <t>Alquiler de Equipos y Maquinarias</t>
  </si>
  <si>
    <t>PAQUETE N°2 DE LAS OBRAS MENORES DE PANAMERICANA NORTE: IVN ASHÁNINKAS, PARADEROS (KM 11+400, KM 6+000 Y KM 8+600) Y LA VÍA AUXILIAR PURINA EN EL IVD NARANJAL</t>
  </si>
  <si>
    <t>CONTRATO DE PRESTACIÓN DE SERVICIOS DE MANTENIMIENTO DE VÍA, RESPUESTA DE EMERGENCIAS Y CONTROL DE POLVO DEL HEAVY HAULD ROAD - N° CB-127-16</t>
  </si>
  <si>
    <t>OBRASCON HUARTE LAIN S.A. SUCURSAL DEL PERU.</t>
  </si>
  <si>
    <t>Mantenimiento</t>
  </si>
  <si>
    <t>Obras</t>
  </si>
  <si>
    <t>Bocaminas 415 y 450:
- Obras provisionales
- Obras preliminares
- Bocaminas
- Instrumentación
- Gastos generales y utilidad
Canal de derivación:
- Obras provisionales
- Obras preliminares
- Movimiento de Tierras
- Obras de arte
Presa de relaves:
- Obras provisionales
- Obras preliminares
- Movimiento de Tierras
- Cobertura de cierre
- Canal de coronación derecho
- Canales internos
- Poza de monitoreo
- Instrumentación</t>
  </si>
  <si>
    <t>RECRECIMIENTO DE PRESA DE RELAVES NO. 6 - UO ARCATA</t>
  </si>
  <si>
    <t xml:space="preserve"> Recrecimiento e impermeabilización del dique principal
- Construcción e impermeabilización de diques laterales
- Construcción de accesos hacia los diques
- Obras complementarias: Sistema de drenaje y captación de aguas, Sistema de decantación de agua, Cajas disipadoras de impacto, Poza de sedimentación, Variante de canal de derivación, Instrumentación, Mitigación de impacto ambiental.</t>
  </si>
  <si>
    <t>Descripción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</si>
</sst>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d/m/yy;@"/>
    <numFmt numFmtId="166" formatCode="0.000"/>
    <numFmt numFmtId="167" formatCode="_-&quot;S/&quot;* #,##0.00_-;\-&quot;S/&quot;* #,##0.00_-;_-&quot;S/&quot;* &quot;-&quot;??_-;_-@_-"/>
    <numFmt numFmtId="168" formatCode="&quot;S/&quot;#,##0.00;\-&quot;S/&quot;#,##0.00"/>
    <numFmt numFmtId="169" formatCode="&quot;S/&quot;#,##0.00"/>
  </numFmts>
  <fonts count="43" x14ac:knownFonts="1">
    <font>
      <sz val="10"/>
      <name val="Arial"/>
      <family val="2"/>
    </font>
    <font>
      <sz val="10"/>
      <name val="Arial"/>
      <family val="2"/>
    </font>
    <font>
      <b/>
      <sz val="18"/>
      <name val="Arial"/>
      <family val="2"/>
    </font>
    <font>
      <b/>
      <sz val="12"/>
      <name val="Arial"/>
      <family val="2"/>
    </font>
    <font>
      <b/>
      <sz val="11"/>
      <name val="Arial"/>
      <family val="2"/>
    </font>
    <font>
      <b/>
      <sz val="14"/>
      <name val="Arial"/>
      <family val="2"/>
    </font>
    <font>
      <b/>
      <sz val="12"/>
      <color rgb="FFFF0000"/>
      <name val="Arial"/>
      <family val="2"/>
    </font>
    <font>
      <sz val="12"/>
      <name val="Arial"/>
      <family val="2"/>
    </font>
    <font>
      <sz val="10"/>
      <color indexed="8"/>
      <name val="Arial"/>
      <family val="2"/>
    </font>
    <font>
      <sz val="12"/>
      <name val="Bahnschrift SemiLight Condensed"/>
      <family val="2"/>
    </font>
    <font>
      <sz val="12"/>
      <color indexed="8"/>
      <name val="Arial"/>
      <family val="2"/>
    </font>
    <font>
      <b/>
      <sz val="12"/>
      <color indexed="8"/>
      <name val="Arial"/>
      <family val="2"/>
    </font>
    <font>
      <sz val="12"/>
      <color rgb="FF0000FF"/>
      <name val="Arial"/>
      <family val="2"/>
    </font>
    <font>
      <sz val="12"/>
      <color rgb="FFFF0000"/>
      <name val="Arial"/>
      <family val="2"/>
    </font>
    <font>
      <b/>
      <sz val="12"/>
      <color rgb="FF000000"/>
      <name val="Arial"/>
      <family val="2"/>
    </font>
    <font>
      <sz val="12"/>
      <color theme="1"/>
      <name val="Arial"/>
      <family val="2"/>
    </font>
    <font>
      <b/>
      <sz val="12"/>
      <color rgb="FF0000FF"/>
      <name val="Arial"/>
      <family val="2"/>
    </font>
    <font>
      <sz val="11"/>
      <color indexed="8"/>
      <name val="Arial"/>
      <family val="2"/>
    </font>
    <font>
      <b/>
      <sz val="11"/>
      <color rgb="FF000000"/>
      <name val="Arial"/>
      <family val="2"/>
    </font>
    <font>
      <sz val="12"/>
      <color rgb="FF000000"/>
      <name val="Arial"/>
      <family val="2"/>
    </font>
    <font>
      <b/>
      <sz val="9"/>
      <color indexed="81"/>
      <name val="Tahoma"/>
      <family val="2"/>
    </font>
    <font>
      <sz val="9"/>
      <color indexed="81"/>
      <name val="Tahoma"/>
      <family val="2"/>
    </font>
    <font>
      <sz val="11"/>
      <color indexed="81"/>
      <name val="Tahoma"/>
      <family val="2"/>
    </font>
    <font>
      <sz val="12"/>
      <color rgb="FF000000"/>
      <name val="Calibri"/>
      <family val="2"/>
    </font>
    <font>
      <sz val="11"/>
      <color rgb="FF000000"/>
      <name val="Calibri"/>
      <family val="2"/>
    </font>
    <font>
      <u/>
      <sz val="10"/>
      <color theme="10"/>
      <name val="Arial"/>
      <family val="2"/>
    </font>
    <font>
      <sz val="10"/>
      <name val="Century Gothic"/>
      <family val="2"/>
    </font>
    <font>
      <b/>
      <i/>
      <sz val="10"/>
      <name val="Century Gothic"/>
      <family val="2"/>
    </font>
    <font>
      <b/>
      <sz val="10"/>
      <name val="Century Gothic"/>
      <family val="2"/>
    </font>
    <font>
      <sz val="9"/>
      <name val="Century Gothic"/>
      <family val="2"/>
    </font>
    <font>
      <b/>
      <i/>
      <sz val="9"/>
      <name val="Century Gothic"/>
      <family val="2"/>
    </font>
    <font>
      <i/>
      <sz val="9"/>
      <name val="Century Gothic"/>
      <family val="2"/>
    </font>
    <font>
      <b/>
      <sz val="9"/>
      <name val="Century Gothic"/>
      <family val="2"/>
    </font>
    <font>
      <sz val="10"/>
      <color theme="1"/>
      <name val="Century Gothic"/>
      <family val="2"/>
    </font>
    <font>
      <sz val="12"/>
      <name val="Century Gothic"/>
      <family val="2"/>
    </font>
    <font>
      <b/>
      <sz val="14"/>
      <name val="Century Gothic"/>
      <family val="2"/>
    </font>
    <font>
      <b/>
      <sz val="10"/>
      <name val="Arial"/>
      <family val="2"/>
    </font>
    <font>
      <b/>
      <i/>
      <sz val="12"/>
      <name val="Arial"/>
      <family val="2"/>
    </font>
    <font>
      <b/>
      <i/>
      <sz val="10"/>
      <name val="Arial"/>
      <family val="2"/>
    </font>
    <font>
      <b/>
      <sz val="12"/>
      <name val="Century Gothic"/>
      <family val="2"/>
    </font>
    <font>
      <b/>
      <u/>
      <sz val="12"/>
      <name val="Century Gothic"/>
      <family val="2"/>
    </font>
    <font>
      <sz val="10"/>
      <color rgb="FFFF0000"/>
      <name val="Century Gothic"/>
      <family val="2"/>
    </font>
    <font>
      <b/>
      <sz val="11"/>
      <name val="Century Gothic"/>
      <family val="2"/>
    </font>
  </fonts>
  <fills count="16">
    <fill>
      <patternFill patternType="none"/>
    </fill>
    <fill>
      <patternFill patternType="gray125"/>
    </fill>
    <fill>
      <patternFill patternType="solid">
        <fgColor auto="1"/>
        <bgColor indexed="64"/>
      </patternFill>
    </fill>
    <fill>
      <patternFill patternType="solid">
        <fgColor rgb="FFFFFF9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00FFFF"/>
        <bgColor indexed="64"/>
      </patternFill>
    </fill>
    <fill>
      <patternFill patternType="solid">
        <fgColor theme="5" tint="0.79998168889431442"/>
        <bgColor indexed="64"/>
      </patternFill>
    </fill>
    <fill>
      <patternFill patternType="solid">
        <fgColor indexed="22"/>
        <bgColor indexed="64"/>
      </patternFill>
    </fill>
    <fill>
      <patternFill patternType="solid">
        <fgColor rgb="FF92D050"/>
        <bgColor indexed="64"/>
      </patternFill>
    </fill>
    <fill>
      <patternFill patternType="solid">
        <fgColor indexed="13"/>
        <bgColor indexed="64"/>
      </patternFill>
    </fill>
    <fill>
      <patternFill patternType="solid">
        <fgColor theme="8" tint="0.59999389629810485"/>
        <bgColor indexed="64"/>
      </patternFill>
    </fill>
    <fill>
      <patternFill patternType="solid">
        <fgColor rgb="FFFFCC00"/>
        <bgColor indexed="64"/>
      </patternFill>
    </fill>
    <fill>
      <patternFill patternType="solid">
        <fgColor rgb="FFFF0000"/>
        <bgColor indexed="64"/>
      </patternFill>
    </fill>
    <fill>
      <patternFill patternType="solid">
        <fgColor rgb="FFCCFF99"/>
        <bgColor indexed="64"/>
      </patternFill>
    </fill>
    <fill>
      <patternFill patternType="solid">
        <fgColor theme="0"/>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double">
        <color indexed="64"/>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style="double">
        <color indexed="64"/>
      </top>
      <bottom style="double">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8" fillId="0" borderId="0"/>
    <xf numFmtId="0" fontId="25" fillId="0" borderId="0" applyNumberFormat="0" applyFill="0" applyBorder="0" applyAlignment="0" applyProtection="0"/>
    <xf numFmtId="0" fontId="1" fillId="0" borderId="0"/>
  </cellStyleXfs>
  <cellXfs count="478">
    <xf numFmtId="0" fontId="0" fillId="0" borderId="0" xfId="0"/>
    <xf numFmtId="165" fontId="0" fillId="0" borderId="0" xfId="0" applyNumberFormat="1"/>
    <xf numFmtId="0" fontId="0" fillId="0" borderId="1" xfId="0" applyBorder="1"/>
    <xf numFmtId="164" fontId="2" fillId="2" borderId="2" xfId="1" applyFont="1" applyFill="1" applyBorder="1" applyAlignment="1">
      <alignment vertical="center" wrapText="1"/>
    </xf>
    <xf numFmtId="164" fontId="2" fillId="2" borderId="3" xfId="1" applyFont="1" applyFill="1" applyBorder="1" applyAlignment="1">
      <alignment vertical="center" wrapText="1"/>
    </xf>
    <xf numFmtId="0" fontId="3" fillId="0" borderId="0" xfId="0" applyFont="1"/>
    <xf numFmtId="4" fontId="0" fillId="0" borderId="0" xfId="0" applyNumberFormat="1"/>
    <xf numFmtId="0" fontId="3" fillId="4" borderId="21" xfId="0" applyFont="1" applyFill="1" applyBorder="1" applyAlignment="1">
      <alignment horizontal="center" vertical="center" wrapText="1"/>
    </xf>
    <xf numFmtId="165" fontId="6" fillId="4" borderId="22" xfId="0" applyNumberFormat="1"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5" borderId="21" xfId="0" quotePrefix="1" applyFont="1" applyFill="1" applyBorder="1" applyAlignment="1">
      <alignment horizontal="center" vertical="center" wrapText="1"/>
    </xf>
    <xf numFmtId="0" fontId="3" fillId="5" borderId="25" xfId="0" quotePrefix="1" applyFont="1" applyFill="1" applyBorder="1" applyAlignment="1">
      <alignment horizontal="center" vertical="center" wrapText="1"/>
    </xf>
    <xf numFmtId="0" fontId="3" fillId="4" borderId="22" xfId="0" applyFont="1" applyFill="1" applyBorder="1" applyAlignment="1">
      <alignment horizontal="center" vertical="center" wrapText="1"/>
    </xf>
    <xf numFmtId="165" fontId="3" fillId="4" borderId="26" xfId="0" applyNumberFormat="1" applyFont="1" applyFill="1" applyBorder="1" applyAlignment="1">
      <alignment horizontal="center" vertical="center" wrapText="1"/>
    </xf>
    <xf numFmtId="165" fontId="3" fillId="4" borderId="27" xfId="0" applyNumberFormat="1"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29" xfId="0" applyFont="1" applyFill="1" applyBorder="1" applyAlignment="1">
      <alignment horizontal="center" vertical="center" wrapText="1"/>
    </xf>
    <xf numFmtId="166" fontId="7" fillId="0" borderId="31" xfId="3" applyNumberFormat="1" applyFont="1" applyBorder="1" applyAlignment="1">
      <alignment horizontal="center" vertical="center" wrapText="1"/>
    </xf>
    <xf numFmtId="9" fontId="9" fillId="0" borderId="32" xfId="2" applyFont="1" applyFill="1" applyBorder="1" applyAlignment="1" applyProtection="1">
      <alignment horizontal="center" vertical="center" wrapText="1"/>
    </xf>
    <xf numFmtId="0" fontId="3" fillId="0" borderId="35" xfId="0" applyFont="1" applyBorder="1" applyAlignment="1">
      <alignment horizontal="center" vertical="center" wrapText="1"/>
    </xf>
    <xf numFmtId="165" fontId="6" fillId="0" borderId="31" xfId="0" applyNumberFormat="1" applyFont="1" applyBorder="1" applyAlignment="1">
      <alignment horizontal="center" vertical="center" wrapText="1"/>
    </xf>
    <xf numFmtId="0" fontId="3" fillId="0" borderId="36"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quotePrefix="1" applyFont="1" applyBorder="1" applyAlignment="1">
      <alignment horizontal="center" vertical="center" wrapText="1"/>
    </xf>
    <xf numFmtId="0" fontId="7" fillId="0" borderId="39" xfId="0" quotePrefix="1" applyFont="1" applyBorder="1" applyAlignment="1">
      <alignment horizontal="center" vertical="center" wrapText="1"/>
    </xf>
    <xf numFmtId="4" fontId="7" fillId="0" borderId="36" xfId="0" applyNumberFormat="1" applyFont="1" applyBorder="1" applyAlignment="1">
      <alignment horizontal="center" vertical="center"/>
    </xf>
    <xf numFmtId="165" fontId="7" fillId="0" borderId="40" xfId="0" applyNumberFormat="1" applyFont="1" applyBorder="1" applyAlignment="1">
      <alignment horizontal="center" vertical="center" wrapText="1"/>
    </xf>
    <xf numFmtId="3" fontId="7" fillId="0" borderId="40" xfId="0" quotePrefix="1" applyNumberFormat="1" applyFont="1" applyBorder="1" applyAlignment="1">
      <alignment horizontal="center" vertical="center" wrapText="1"/>
    </xf>
    <xf numFmtId="166" fontId="10" fillId="0" borderId="41" xfId="3" applyNumberFormat="1" applyFont="1" applyBorder="1" applyAlignment="1">
      <alignment horizontal="center" vertical="center" wrapText="1"/>
    </xf>
    <xf numFmtId="166" fontId="10" fillId="0" borderId="36" xfId="3" applyNumberFormat="1" applyFont="1" applyBorder="1" applyAlignment="1">
      <alignment horizontal="center" vertical="center" wrapText="1"/>
    </xf>
    <xf numFmtId="166" fontId="10" fillId="0" borderId="37" xfId="3" applyNumberFormat="1"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0" fillId="0" borderId="0" xfId="0" applyAlignment="1">
      <alignment horizontal="center" vertical="center"/>
    </xf>
    <xf numFmtId="1" fontId="3" fillId="0" borderId="43" xfId="0" applyNumberFormat="1" applyFont="1" applyBorder="1" applyAlignment="1">
      <alignment horizontal="center" vertical="center"/>
    </xf>
    <xf numFmtId="165" fontId="3" fillId="0" borderId="31" xfId="0" quotePrefix="1" applyNumberFormat="1" applyFont="1" applyBorder="1" applyAlignment="1">
      <alignment horizontal="center" vertical="center" wrapText="1"/>
    </xf>
    <xf numFmtId="166" fontId="11" fillId="0" borderId="31" xfId="3" applyNumberFormat="1" applyFont="1" applyBorder="1" applyAlignment="1">
      <alignment horizontal="center" vertical="center" wrapText="1"/>
    </xf>
    <xf numFmtId="166" fontId="10" fillId="0" borderId="31" xfId="3" applyNumberFormat="1" applyFont="1" applyBorder="1" applyAlignment="1">
      <alignment horizontal="center" vertical="center" wrapText="1"/>
    </xf>
    <xf numFmtId="166" fontId="10" fillId="0" borderId="32" xfId="3" applyNumberFormat="1" applyFont="1" applyBorder="1" applyAlignment="1">
      <alignment horizontal="center" vertical="center" wrapText="1"/>
    </xf>
    <xf numFmtId="166" fontId="10" fillId="0" borderId="30" xfId="3" applyNumberFormat="1"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4" fontId="7" fillId="0" borderId="31" xfId="0" applyNumberFormat="1" applyFont="1" applyBorder="1" applyAlignment="1">
      <alignment horizontal="center" vertical="center"/>
    </xf>
    <xf numFmtId="165" fontId="7" fillId="0" borderId="44" xfId="0" quotePrefix="1" applyNumberFormat="1" applyFont="1" applyBorder="1" applyAlignment="1">
      <alignment horizontal="center" vertical="center" wrapText="1"/>
    </xf>
    <xf numFmtId="166" fontId="10" fillId="0" borderId="45" xfId="3" applyNumberFormat="1" applyFont="1" applyBorder="1" applyAlignment="1">
      <alignment horizontal="center" vertical="center" wrapText="1"/>
    </xf>
    <xf numFmtId="166" fontId="12" fillId="0" borderId="45" xfId="3" applyNumberFormat="1" applyFont="1" applyBorder="1" applyAlignment="1">
      <alignment horizontal="center" vertical="center" wrapText="1"/>
    </xf>
    <xf numFmtId="166" fontId="12" fillId="0" borderId="31" xfId="3" applyNumberFormat="1" applyFont="1" applyBorder="1" applyAlignment="1">
      <alignment horizontal="center" vertical="center" wrapText="1"/>
    </xf>
    <xf numFmtId="166" fontId="12" fillId="6" borderId="31" xfId="3" applyNumberFormat="1" applyFont="1" applyFill="1" applyBorder="1" applyAlignment="1">
      <alignment horizontal="center" vertical="center" wrapText="1"/>
    </xf>
    <xf numFmtId="166" fontId="12" fillId="6" borderId="46" xfId="3" applyNumberFormat="1" applyFont="1" applyFill="1" applyBorder="1" applyAlignment="1">
      <alignment horizontal="center" vertical="center" wrapText="1"/>
    </xf>
    <xf numFmtId="1" fontId="3" fillId="0" borderId="35" xfId="0" applyNumberFormat="1" applyFont="1" applyBorder="1" applyAlignment="1">
      <alignment horizontal="center" vertical="center"/>
    </xf>
    <xf numFmtId="166" fontId="11" fillId="0" borderId="36" xfId="3" applyNumberFormat="1" applyFont="1" applyBorder="1" applyAlignment="1">
      <alignment horizontal="center" vertical="center" wrapText="1"/>
    </xf>
    <xf numFmtId="166" fontId="10" fillId="0" borderId="38" xfId="3" applyNumberFormat="1" applyFont="1" applyBorder="1" applyAlignment="1">
      <alignment horizontal="center" vertical="center" wrapText="1"/>
    </xf>
    <xf numFmtId="0" fontId="7" fillId="6" borderId="38" xfId="0" applyFont="1" applyFill="1" applyBorder="1" applyAlignment="1">
      <alignment horizontal="center" vertical="center" wrapText="1"/>
    </xf>
    <xf numFmtId="4" fontId="7" fillId="3" borderId="36" xfId="0" applyNumberFormat="1" applyFont="1" applyFill="1" applyBorder="1" applyAlignment="1">
      <alignment horizontal="center" vertical="center"/>
    </xf>
    <xf numFmtId="165" fontId="7" fillId="0" borderId="40" xfId="0" quotePrefix="1" applyNumberFormat="1" applyFont="1" applyBorder="1" applyAlignment="1">
      <alignment horizontal="center" vertical="center" wrapText="1"/>
    </xf>
    <xf numFmtId="166" fontId="12" fillId="0" borderId="41" xfId="3" applyNumberFormat="1" applyFont="1" applyBorder="1" applyAlignment="1">
      <alignment horizontal="center" vertical="center" wrapText="1"/>
    </xf>
    <xf numFmtId="166" fontId="12" fillId="0" borderId="36" xfId="3" applyNumberFormat="1" applyFont="1" applyBorder="1" applyAlignment="1">
      <alignment horizontal="center" vertical="center" wrapText="1"/>
    </xf>
    <xf numFmtId="166" fontId="12" fillId="6" borderId="36" xfId="3" applyNumberFormat="1" applyFont="1" applyFill="1" applyBorder="1" applyAlignment="1">
      <alignment horizontal="center" vertical="center" wrapText="1"/>
    </xf>
    <xf numFmtId="166" fontId="12" fillId="6" borderId="42" xfId="3" applyNumberFormat="1" applyFont="1" applyFill="1" applyBorder="1" applyAlignment="1">
      <alignment horizontal="center" vertical="center" wrapText="1"/>
    </xf>
    <xf numFmtId="166" fontId="10" fillId="6" borderId="30" xfId="3" applyNumberFormat="1" applyFont="1" applyFill="1" applyBorder="1" applyAlignment="1">
      <alignment horizontal="center" vertical="center" wrapText="1"/>
    </xf>
    <xf numFmtId="4" fontId="7" fillId="3" borderId="31" xfId="0" applyNumberFormat="1" applyFont="1" applyFill="1" applyBorder="1" applyAlignment="1">
      <alignment horizontal="center" vertical="center"/>
    </xf>
    <xf numFmtId="3" fontId="7" fillId="0" borderId="44" xfId="0" quotePrefix="1" applyNumberFormat="1" applyFont="1" applyBorder="1" applyAlignment="1">
      <alignment horizontal="center" vertical="center" wrapText="1"/>
    </xf>
    <xf numFmtId="165" fontId="13" fillId="0" borderId="31" xfId="0" quotePrefix="1" applyNumberFormat="1" applyFont="1" applyBorder="1" applyAlignment="1">
      <alignment horizontal="center" vertical="center" wrapText="1"/>
    </xf>
    <xf numFmtId="165" fontId="7" fillId="0" borderId="36" xfId="0" quotePrefix="1" applyNumberFormat="1" applyFont="1" applyBorder="1" applyAlignment="1">
      <alignment horizontal="center" vertical="center" wrapText="1"/>
    </xf>
    <xf numFmtId="165" fontId="7" fillId="0" borderId="48" xfId="0" quotePrefix="1" applyNumberFormat="1" applyFont="1" applyBorder="1" applyAlignment="1">
      <alignment horizontal="center" vertical="center" wrapText="1"/>
    </xf>
    <xf numFmtId="165" fontId="3" fillId="0" borderId="38" xfId="0" quotePrefix="1" applyNumberFormat="1" applyFont="1" applyBorder="1" applyAlignment="1">
      <alignment horizontal="center" vertical="center" wrapText="1"/>
    </xf>
    <xf numFmtId="165" fontId="13" fillId="0" borderId="36" xfId="0" quotePrefix="1" applyNumberFormat="1" applyFont="1" applyBorder="1" applyAlignment="1">
      <alignment horizontal="center" vertical="center" wrapText="1"/>
    </xf>
    <xf numFmtId="166" fontId="7" fillId="0" borderId="37" xfId="3" applyNumberFormat="1" applyFont="1" applyBorder="1" applyAlignment="1">
      <alignment horizontal="center" vertical="center" wrapText="1"/>
    </xf>
    <xf numFmtId="49" fontId="10" fillId="0" borderId="37" xfId="3" applyNumberFormat="1" applyFont="1" applyBorder="1" applyAlignment="1">
      <alignment horizontal="center" vertical="center" wrapText="1"/>
    </xf>
    <xf numFmtId="0" fontId="7" fillId="0" borderId="38" xfId="0" applyFont="1" applyBorder="1" applyAlignment="1">
      <alignment horizontal="center" vertical="center" wrapText="1"/>
    </xf>
    <xf numFmtId="4" fontId="7" fillId="0" borderId="14" xfId="0" applyNumberFormat="1" applyFont="1" applyBorder="1" applyAlignment="1">
      <alignment horizontal="center" vertical="center"/>
    </xf>
    <xf numFmtId="1" fontId="3" fillId="0" borderId="43" xfId="0" applyNumberFormat="1" applyFont="1" applyBorder="1" applyAlignment="1">
      <alignment horizontal="center" vertical="center" wrapText="1"/>
    </xf>
    <xf numFmtId="166" fontId="7" fillId="0" borderId="31" xfId="3" quotePrefix="1" applyNumberFormat="1" applyFont="1" applyBorder="1" applyAlignment="1">
      <alignment horizontal="center" vertical="center" wrapText="1"/>
    </xf>
    <xf numFmtId="166" fontId="10" fillId="0" borderId="31" xfId="3" applyNumberFormat="1" applyFont="1" applyBorder="1" applyAlignment="1">
      <alignment horizontal="left" vertical="center" wrapText="1"/>
    </xf>
    <xf numFmtId="49" fontId="10" fillId="0" borderId="32" xfId="3" applyNumberFormat="1" applyFont="1" applyBorder="1" applyAlignment="1">
      <alignment horizontal="center" vertical="center" wrapText="1"/>
    </xf>
    <xf numFmtId="4" fontId="7" fillId="0" borderId="31" xfId="0" applyNumberFormat="1" applyFont="1" applyBorder="1" applyAlignment="1">
      <alignment horizontal="center" vertical="center" wrapText="1"/>
    </xf>
    <xf numFmtId="165" fontId="3" fillId="0" borderId="30" xfId="0" quotePrefix="1" applyNumberFormat="1" applyFont="1" applyBorder="1" applyAlignment="1">
      <alignment horizontal="center" vertical="center" wrapText="1"/>
    </xf>
    <xf numFmtId="0" fontId="7" fillId="6" borderId="30" xfId="0" applyFont="1" applyFill="1" applyBorder="1" applyAlignment="1">
      <alignment horizontal="center" vertical="center" wrapText="1"/>
    </xf>
    <xf numFmtId="0" fontId="3" fillId="0" borderId="30" xfId="0" applyFont="1" applyBorder="1" applyAlignment="1">
      <alignment horizontal="center" vertical="center"/>
    </xf>
    <xf numFmtId="0" fontId="12" fillId="0" borderId="36" xfId="0" applyFont="1" applyBorder="1" applyAlignment="1">
      <alignment horizontal="center" vertical="center" wrapText="1"/>
    </xf>
    <xf numFmtId="166" fontId="12" fillId="0" borderId="37" xfId="3" applyNumberFormat="1" applyFont="1" applyBorder="1" applyAlignment="1">
      <alignment horizontal="center" vertical="center" wrapText="1"/>
    </xf>
    <xf numFmtId="166" fontId="12" fillId="6" borderId="37" xfId="3" applyNumberFormat="1" applyFont="1" applyFill="1" applyBorder="1" applyAlignment="1">
      <alignment horizontal="center" vertical="center" wrapText="1"/>
    </xf>
    <xf numFmtId="165" fontId="13" fillId="0" borderId="14" xfId="0" quotePrefix="1" applyNumberFormat="1" applyFont="1" applyBorder="1" applyAlignment="1">
      <alignment horizontal="center" vertical="center" wrapText="1"/>
    </xf>
    <xf numFmtId="166" fontId="15" fillId="0" borderId="31" xfId="3" applyNumberFormat="1" applyFont="1" applyBorder="1" applyAlignment="1">
      <alignment horizontal="center" vertical="center" wrapText="1"/>
    </xf>
    <xf numFmtId="1" fontId="10" fillId="0" borderId="37" xfId="3" applyNumberFormat="1" applyFont="1" applyBorder="1" applyAlignment="1">
      <alignment horizontal="center" vertical="center" wrapText="1"/>
    </xf>
    <xf numFmtId="4" fontId="7" fillId="3" borderId="31" xfId="0" applyNumberFormat="1" applyFont="1" applyFill="1" applyBorder="1" applyAlignment="1">
      <alignment horizontal="center" vertical="center" wrapText="1"/>
    </xf>
    <xf numFmtId="165" fontId="7" fillId="6" borderId="40" xfId="0" quotePrefix="1" applyNumberFormat="1" applyFont="1" applyFill="1" applyBorder="1" applyAlignment="1">
      <alignment horizontal="center" vertical="center" wrapText="1"/>
    </xf>
    <xf numFmtId="3" fontId="7" fillId="6" borderId="32" xfId="0" quotePrefix="1" applyNumberFormat="1" applyFont="1" applyFill="1" applyBorder="1" applyAlignment="1">
      <alignment horizontal="center" vertical="center" wrapText="1"/>
    </xf>
    <xf numFmtId="166" fontId="12" fillId="0" borderId="30" xfId="3" applyNumberFormat="1" applyFont="1" applyBorder="1" applyAlignment="1">
      <alignment horizontal="center" vertical="center" wrapText="1"/>
    </xf>
    <xf numFmtId="166" fontId="12" fillId="0" borderId="32" xfId="3" applyNumberFormat="1" applyFont="1" applyBorder="1" applyAlignment="1">
      <alignment horizontal="center" vertical="center" wrapText="1"/>
    </xf>
    <xf numFmtId="0" fontId="7" fillId="6" borderId="36" xfId="0" applyFont="1" applyFill="1" applyBorder="1" applyAlignment="1">
      <alignment horizontal="center" vertical="center" wrapText="1"/>
    </xf>
    <xf numFmtId="1" fontId="10" fillId="0" borderId="32" xfId="3" applyNumberFormat="1" applyFont="1" applyBorder="1" applyAlignment="1">
      <alignment horizontal="center" vertical="center" wrapText="1"/>
    </xf>
    <xf numFmtId="165" fontId="7" fillId="6" borderId="44" xfId="0" quotePrefix="1" applyNumberFormat="1" applyFont="1" applyFill="1" applyBorder="1" applyAlignment="1">
      <alignment horizontal="center" vertical="center" wrapText="1"/>
    </xf>
    <xf numFmtId="3" fontId="7" fillId="0" borderId="32" xfId="0" quotePrefix="1" applyNumberFormat="1" applyFont="1" applyBorder="1" applyAlignment="1">
      <alignment horizontal="center" vertical="center" wrapText="1"/>
    </xf>
    <xf numFmtId="166" fontId="7" fillId="0" borderId="30" xfId="3" applyNumberFormat="1" applyFont="1" applyBorder="1" applyAlignment="1">
      <alignment horizontal="center" vertical="center" wrapText="1"/>
    </xf>
    <xf numFmtId="0" fontId="12" fillId="6" borderId="31" xfId="0" applyFont="1" applyFill="1" applyBorder="1" applyAlignment="1">
      <alignment horizontal="center" vertical="center" wrapText="1"/>
    </xf>
    <xf numFmtId="166" fontId="7" fillId="0" borderId="32" xfId="3" applyNumberFormat="1" applyFont="1" applyBorder="1" applyAlignment="1">
      <alignment horizontal="center" vertical="center" wrapText="1"/>
    </xf>
    <xf numFmtId="4" fontId="7" fillId="6" borderId="31" xfId="0" applyNumberFormat="1" applyFont="1" applyFill="1" applyBorder="1" applyAlignment="1">
      <alignment horizontal="center" vertical="center"/>
    </xf>
    <xf numFmtId="166" fontId="10" fillId="0" borderId="31" xfId="3" quotePrefix="1" applyNumberFormat="1" applyFont="1" applyBorder="1" applyAlignment="1">
      <alignment horizontal="center" vertical="center" wrapText="1"/>
    </xf>
    <xf numFmtId="166" fontId="10" fillId="6" borderId="31" xfId="3" applyNumberFormat="1" applyFont="1" applyFill="1" applyBorder="1" applyAlignment="1">
      <alignment horizontal="center" vertical="center" wrapText="1"/>
    </xf>
    <xf numFmtId="1" fontId="12" fillId="0" borderId="37" xfId="3" applyNumberFormat="1" applyFont="1" applyBorder="1" applyAlignment="1">
      <alignment horizontal="center" vertical="center" wrapText="1"/>
    </xf>
    <xf numFmtId="3" fontId="7" fillId="6" borderId="44" xfId="0" quotePrefix="1" applyNumberFormat="1" applyFont="1" applyFill="1" applyBorder="1" applyAlignment="1">
      <alignment horizontal="center" vertical="center" wrapText="1"/>
    </xf>
    <xf numFmtId="1" fontId="7" fillId="0" borderId="37" xfId="3" applyNumberFormat="1" applyFont="1" applyBorder="1" applyAlignment="1">
      <alignment horizontal="center" vertical="center" wrapText="1"/>
    </xf>
    <xf numFmtId="166" fontId="12" fillId="0" borderId="46" xfId="3" applyNumberFormat="1" applyFont="1" applyBorder="1" applyAlignment="1">
      <alignment horizontal="center" vertical="center" wrapText="1"/>
    </xf>
    <xf numFmtId="1" fontId="3" fillId="0" borderId="12" xfId="0" applyNumberFormat="1" applyFont="1" applyBorder="1" applyAlignment="1">
      <alignment horizontal="center" vertical="center"/>
    </xf>
    <xf numFmtId="166" fontId="11" fillId="0" borderId="14" xfId="3" applyNumberFormat="1" applyFont="1" applyBorder="1" applyAlignment="1">
      <alignment horizontal="center" vertical="center" wrapText="1"/>
    </xf>
    <xf numFmtId="166" fontId="10" fillId="0" borderId="14" xfId="3" applyNumberFormat="1" applyFont="1" applyBorder="1" applyAlignment="1">
      <alignment horizontal="center" vertical="center" wrapText="1"/>
    </xf>
    <xf numFmtId="4" fontId="7" fillId="6" borderId="31" xfId="0" applyNumberFormat="1" applyFont="1" applyFill="1" applyBorder="1" applyAlignment="1">
      <alignment horizontal="center" vertical="center" wrapText="1"/>
    </xf>
    <xf numFmtId="0" fontId="12" fillId="6" borderId="36" xfId="0" applyFont="1" applyFill="1" applyBorder="1" applyAlignment="1">
      <alignment horizontal="center" vertical="center" wrapText="1"/>
    </xf>
    <xf numFmtId="1" fontId="7" fillId="0" borderId="32" xfId="3" applyNumberFormat="1" applyFont="1" applyBorder="1" applyAlignment="1">
      <alignment horizontal="center" vertical="center" wrapText="1"/>
    </xf>
    <xf numFmtId="166" fontId="10" fillId="0" borderId="14" xfId="3" quotePrefix="1" applyNumberFormat="1" applyFont="1" applyBorder="1" applyAlignment="1">
      <alignment horizontal="center" vertical="center" wrapText="1"/>
    </xf>
    <xf numFmtId="1" fontId="7" fillId="0" borderId="47" xfId="3" applyNumberFormat="1" applyFont="1" applyBorder="1" applyAlignment="1">
      <alignment horizontal="center" vertical="center" wrapText="1"/>
    </xf>
    <xf numFmtId="0" fontId="7" fillId="0" borderId="34" xfId="0" applyFont="1" applyBorder="1" applyAlignment="1">
      <alignment horizontal="center" vertical="center" wrapText="1"/>
    </xf>
    <xf numFmtId="4" fontId="7" fillId="0" borderId="14" xfId="0" applyNumberFormat="1" applyFont="1" applyBorder="1" applyAlignment="1">
      <alignment horizontal="center" vertical="center" wrapText="1"/>
    </xf>
    <xf numFmtId="166" fontId="12" fillId="0" borderId="34" xfId="3" applyNumberFormat="1" applyFont="1" applyBorder="1" applyAlignment="1">
      <alignment horizontal="center" vertical="center" wrapText="1"/>
    </xf>
    <xf numFmtId="166" fontId="12" fillId="0" borderId="14" xfId="3" applyNumberFormat="1" applyFont="1" applyBorder="1" applyAlignment="1">
      <alignment horizontal="center" vertical="center" wrapText="1"/>
    </xf>
    <xf numFmtId="0" fontId="12" fillId="0" borderId="31" xfId="0" applyFont="1" applyBorder="1" applyAlignment="1">
      <alignment horizontal="center" vertical="center" wrapText="1"/>
    </xf>
    <xf numFmtId="166" fontId="12" fillId="6" borderId="47" xfId="3" applyNumberFormat="1" applyFont="1" applyFill="1" applyBorder="1" applyAlignment="1">
      <alignment horizontal="center" vertical="center" wrapText="1"/>
    </xf>
    <xf numFmtId="0" fontId="7" fillId="0" borderId="49" xfId="0" applyFont="1" applyBorder="1" applyAlignment="1">
      <alignment horizontal="center" vertical="center" wrapText="1"/>
    </xf>
    <xf numFmtId="166" fontId="10" fillId="0" borderId="47" xfId="3" applyNumberFormat="1" applyFont="1" applyBorder="1" applyAlignment="1">
      <alignment horizontal="center" vertical="center" wrapText="1"/>
    </xf>
    <xf numFmtId="0" fontId="12" fillId="6" borderId="14" xfId="0" applyFont="1" applyFill="1" applyBorder="1" applyAlignment="1">
      <alignment horizontal="center" vertical="center" wrapText="1"/>
    </xf>
    <xf numFmtId="166" fontId="12" fillId="0" borderId="38" xfId="3" applyNumberFormat="1" applyFont="1" applyBorder="1" applyAlignment="1">
      <alignment horizontal="center" vertical="center" wrapText="1"/>
    </xf>
    <xf numFmtId="165" fontId="7" fillId="0" borderId="31" xfId="0" quotePrefix="1" applyNumberFormat="1" applyFont="1" applyBorder="1" applyAlignment="1">
      <alignment horizontal="center" vertical="center" wrapText="1"/>
    </xf>
    <xf numFmtId="0" fontId="12" fillId="6" borderId="39" xfId="0" applyFont="1" applyFill="1" applyBorder="1" applyAlignment="1">
      <alignment horizontal="center" vertical="center" wrapText="1"/>
    </xf>
    <xf numFmtId="165" fontId="6" fillId="0" borderId="31" xfId="0" quotePrefix="1" applyNumberFormat="1" applyFont="1" applyBorder="1" applyAlignment="1">
      <alignment horizontal="center" vertical="center" wrapText="1"/>
    </xf>
    <xf numFmtId="2" fontId="7" fillId="0" borderId="31" xfId="0" applyNumberFormat="1" applyFont="1" applyBorder="1" applyAlignment="1">
      <alignment horizontal="center" vertical="center" wrapText="1"/>
    </xf>
    <xf numFmtId="166" fontId="7" fillId="0" borderId="36" xfId="3" quotePrefix="1" applyNumberFormat="1" applyFont="1" applyBorder="1" applyAlignment="1">
      <alignment horizontal="center" vertical="center" wrapText="1"/>
    </xf>
    <xf numFmtId="166" fontId="10" fillId="0" borderId="36" xfId="3" quotePrefix="1" applyNumberFormat="1" applyFont="1" applyBorder="1" applyAlignment="1">
      <alignment horizontal="left" vertical="center" wrapText="1"/>
    </xf>
    <xf numFmtId="4" fontId="7" fillId="0" borderId="36" xfId="0" applyNumberFormat="1" applyFont="1" applyBorder="1" applyAlignment="1">
      <alignment horizontal="center" vertical="center" wrapText="1"/>
    </xf>
    <xf numFmtId="0" fontId="12" fillId="0" borderId="39" xfId="0" applyFont="1" applyBorder="1" applyAlignment="1">
      <alignment horizontal="center" vertical="center" wrapText="1"/>
    </xf>
    <xf numFmtId="166" fontId="7" fillId="0" borderId="36" xfId="3" quotePrefix="1" applyNumberFormat="1" applyFont="1" applyBorder="1" applyAlignment="1">
      <alignment horizontal="left" vertical="center" wrapText="1"/>
    </xf>
    <xf numFmtId="0" fontId="15" fillId="6" borderId="38" xfId="0" applyFont="1" applyFill="1" applyBorder="1" applyAlignment="1">
      <alignment horizontal="center" vertical="center" wrapText="1"/>
    </xf>
    <xf numFmtId="0" fontId="15" fillId="6" borderId="36" xfId="0" applyFont="1" applyFill="1" applyBorder="1" applyAlignment="1">
      <alignment horizontal="center" vertical="center" wrapText="1"/>
    </xf>
    <xf numFmtId="4" fontId="15" fillId="6" borderId="36" xfId="0" applyNumberFormat="1" applyFont="1" applyFill="1" applyBorder="1" applyAlignment="1">
      <alignment horizontal="center" vertical="center" wrapText="1"/>
    </xf>
    <xf numFmtId="166" fontId="15" fillId="0" borderId="41" xfId="3" applyNumberFormat="1" applyFont="1" applyBorder="1" applyAlignment="1">
      <alignment horizontal="center" vertical="center" wrapText="1"/>
    </xf>
    <xf numFmtId="166" fontId="15" fillId="0" borderId="36" xfId="3" applyNumberFormat="1" applyFont="1" applyBorder="1" applyAlignment="1">
      <alignment horizontal="center" vertical="center" wrapText="1"/>
    </xf>
    <xf numFmtId="166" fontId="15" fillId="0" borderId="37" xfId="3" applyNumberFormat="1" applyFont="1" applyBorder="1" applyAlignment="1">
      <alignment horizontal="center" vertical="center" wrapText="1"/>
    </xf>
    <xf numFmtId="166" fontId="7" fillId="0" borderId="31" xfId="3" applyNumberFormat="1" applyFont="1" applyBorder="1" applyAlignment="1">
      <alignment horizontal="left" vertical="center" wrapText="1"/>
    </xf>
    <xf numFmtId="166" fontId="12" fillId="6" borderId="32" xfId="3" applyNumberFormat="1" applyFont="1" applyFill="1" applyBorder="1" applyAlignment="1">
      <alignment horizontal="center" vertical="center" wrapText="1"/>
    </xf>
    <xf numFmtId="166" fontId="7" fillId="0" borderId="14" xfId="3" quotePrefix="1" applyNumberFormat="1" applyFont="1" applyBorder="1" applyAlignment="1">
      <alignment horizontal="center" vertical="center" wrapText="1"/>
    </xf>
    <xf numFmtId="166" fontId="7" fillId="0" borderId="47" xfId="3" applyNumberFormat="1" applyFont="1" applyBorder="1" applyAlignment="1">
      <alignment horizontal="center" vertical="center" wrapText="1"/>
    </xf>
    <xf numFmtId="1" fontId="10" fillId="0" borderId="47" xfId="3" applyNumberFormat="1" applyFont="1" applyBorder="1" applyAlignment="1">
      <alignment horizontal="center" vertical="center" wrapText="1"/>
    </xf>
    <xf numFmtId="165" fontId="15" fillId="6" borderId="40" xfId="0" quotePrefix="1" applyNumberFormat="1" applyFont="1" applyFill="1" applyBorder="1" applyAlignment="1">
      <alignment horizontal="center" vertical="center" wrapText="1"/>
    </xf>
    <xf numFmtId="165" fontId="15" fillId="0" borderId="40" xfId="0" quotePrefix="1" applyNumberFormat="1" applyFont="1" applyBorder="1" applyAlignment="1">
      <alignment horizontal="center" vertical="center" wrapText="1"/>
    </xf>
    <xf numFmtId="166" fontId="7" fillId="0" borderId="45" xfId="3" applyNumberFormat="1" applyFont="1" applyBorder="1" applyAlignment="1">
      <alignment horizontal="center" vertical="center" wrapText="1"/>
    </xf>
    <xf numFmtId="166" fontId="7" fillId="0" borderId="36" xfId="3" applyNumberFormat="1" applyFont="1" applyBorder="1" applyAlignment="1">
      <alignment horizontal="center" vertical="center" wrapText="1"/>
    </xf>
    <xf numFmtId="0" fontId="7" fillId="0" borderId="39" xfId="0" applyFont="1" applyBorder="1" applyAlignment="1">
      <alignment horizontal="center" vertical="center"/>
    </xf>
    <xf numFmtId="164" fontId="12" fillId="0" borderId="30" xfId="1" applyFont="1" applyFill="1" applyBorder="1" applyAlignment="1" applyProtection="1">
      <alignment horizontal="center" vertical="center" wrapText="1"/>
    </xf>
    <xf numFmtId="164" fontId="12" fillId="0" borderId="14" xfId="1" applyFont="1" applyFill="1" applyBorder="1" applyAlignment="1" applyProtection="1">
      <alignment horizontal="center" vertical="center" wrapText="1"/>
    </xf>
    <xf numFmtId="0" fontId="12" fillId="0" borderId="0" xfId="0" quotePrefix="1" applyFont="1" applyAlignment="1">
      <alignment horizontal="center" vertical="center" wrapText="1"/>
    </xf>
    <xf numFmtId="164" fontId="12" fillId="0" borderId="47" xfId="1" applyFont="1" applyFill="1" applyBorder="1" applyAlignment="1" applyProtection="1">
      <alignment horizontal="center" vertical="center" wrapText="1"/>
    </xf>
    <xf numFmtId="166" fontId="12" fillId="6" borderId="44" xfId="3" applyNumberFormat="1" applyFont="1" applyFill="1" applyBorder="1" applyAlignment="1">
      <alignment horizontal="center" vertical="center" wrapText="1"/>
    </xf>
    <xf numFmtId="0" fontId="3" fillId="0" borderId="30" xfId="0" applyFont="1" applyBorder="1" applyAlignment="1">
      <alignment horizontal="center" vertical="center" wrapText="1"/>
    </xf>
    <xf numFmtId="166" fontId="17" fillId="0" borderId="31" xfId="3" applyNumberFormat="1" applyFont="1" applyBorder="1" applyAlignment="1">
      <alignment horizontal="left" vertical="center" wrapText="1"/>
    </xf>
    <xf numFmtId="166" fontId="10" fillId="6" borderId="36" xfId="3" applyNumberFormat="1" applyFont="1" applyFill="1" applyBorder="1" applyAlignment="1">
      <alignment horizontal="center" vertical="center" wrapText="1"/>
    </xf>
    <xf numFmtId="166" fontId="12" fillId="0" borderId="46" xfId="3" quotePrefix="1" applyNumberFormat="1" applyFont="1" applyBorder="1" applyAlignment="1">
      <alignment horizontal="center" vertical="center" wrapText="1"/>
    </xf>
    <xf numFmtId="1" fontId="3" fillId="0" borderId="33" xfId="0" applyNumberFormat="1" applyFont="1" applyBorder="1" applyAlignment="1">
      <alignment horizontal="center" vertical="center"/>
    </xf>
    <xf numFmtId="166" fontId="11" fillId="0" borderId="15" xfId="3" applyNumberFormat="1" applyFont="1" applyBorder="1" applyAlignment="1">
      <alignment horizontal="center" vertical="center" wrapText="1"/>
    </xf>
    <xf numFmtId="166" fontId="10" fillId="0" borderId="16" xfId="3" applyNumberFormat="1" applyFont="1" applyBorder="1" applyAlignment="1">
      <alignment horizontal="center" vertical="center" wrapText="1"/>
    </xf>
    <xf numFmtId="0" fontId="0" fillId="0" borderId="0" xfId="0" applyAlignment="1">
      <alignment vertical="center"/>
    </xf>
    <xf numFmtId="1" fontId="3" fillId="0" borderId="35" xfId="0" applyNumberFormat="1" applyFont="1" applyBorder="1" applyAlignment="1">
      <alignment horizontal="center" vertical="center" wrapText="1"/>
    </xf>
    <xf numFmtId="166" fontId="12" fillId="0" borderId="31" xfId="3" quotePrefix="1" applyNumberFormat="1" applyFont="1" applyBorder="1" applyAlignment="1">
      <alignment horizontal="center" vertical="center" wrapText="1"/>
    </xf>
    <xf numFmtId="4" fontId="7" fillId="3" borderId="36" xfId="0" applyNumberFormat="1" applyFont="1" applyFill="1" applyBorder="1" applyAlignment="1">
      <alignment horizontal="center" vertical="center" wrapText="1"/>
    </xf>
    <xf numFmtId="166" fontId="14" fillId="0" borderId="36" xfId="3" applyNumberFormat="1" applyFont="1" applyBorder="1" applyAlignment="1">
      <alignment horizontal="left" vertical="center" wrapText="1"/>
    </xf>
    <xf numFmtId="166" fontId="7" fillId="0" borderId="31" xfId="3" quotePrefix="1" applyNumberFormat="1" applyFont="1" applyBorder="1" applyAlignment="1">
      <alignment horizontal="left" vertical="center" wrapText="1"/>
    </xf>
    <xf numFmtId="1" fontId="3" fillId="0" borderId="33" xfId="0" applyNumberFormat="1" applyFont="1" applyBorder="1" applyAlignment="1">
      <alignment horizontal="center" vertical="center" wrapText="1"/>
    </xf>
    <xf numFmtId="166" fontId="3" fillId="0" borderId="14" xfId="3" applyNumberFormat="1" applyFont="1" applyBorder="1" applyAlignment="1">
      <alignment horizontal="center" vertical="center" wrapText="1"/>
    </xf>
    <xf numFmtId="166" fontId="3" fillId="0" borderId="36" xfId="3" applyNumberFormat="1" applyFont="1" applyBorder="1" applyAlignment="1">
      <alignment horizontal="center" vertical="center" wrapText="1"/>
    </xf>
    <xf numFmtId="166" fontId="10" fillId="0" borderId="36" xfId="3" applyNumberFormat="1" applyFont="1" applyBorder="1" applyAlignment="1">
      <alignment horizontal="left" vertical="center" wrapText="1"/>
    </xf>
    <xf numFmtId="166" fontId="3" fillId="0" borderId="31" xfId="3" applyNumberFormat="1" applyFont="1" applyBorder="1" applyAlignment="1">
      <alignment horizontal="center" vertical="center" wrapText="1"/>
    </xf>
    <xf numFmtId="3" fontId="23" fillId="0" borderId="0" xfId="0" applyNumberFormat="1" applyFont="1"/>
    <xf numFmtId="4" fontId="24" fillId="0" borderId="0" xfId="0" applyNumberFormat="1" applyFont="1"/>
    <xf numFmtId="1" fontId="3" fillId="0" borderId="0" xfId="0" applyNumberFormat="1" applyFont="1" applyAlignment="1">
      <alignment horizontal="center" vertical="center" wrapText="1"/>
    </xf>
    <xf numFmtId="0" fontId="3" fillId="0" borderId="0" xfId="0" applyFont="1" applyAlignment="1">
      <alignment horizontal="center" vertical="center" wrapText="1"/>
    </xf>
    <xf numFmtId="165" fontId="13" fillId="0" borderId="0" xfId="0" quotePrefix="1" applyNumberFormat="1" applyFont="1" applyAlignment="1">
      <alignment horizontal="center" vertical="center" wrapText="1"/>
    </xf>
    <xf numFmtId="166" fontId="11" fillId="0" borderId="0" xfId="3" applyNumberFormat="1" applyFont="1" applyAlignment="1">
      <alignment horizontal="center" vertical="center" wrapText="1"/>
    </xf>
    <xf numFmtId="166" fontId="10" fillId="0" borderId="0" xfId="3" applyNumberFormat="1" applyFont="1" applyAlignment="1">
      <alignment horizontal="center" vertical="center" wrapText="1"/>
    </xf>
    <xf numFmtId="166" fontId="7" fillId="0" borderId="0" xfId="3" applyNumberFormat="1" applyFont="1" applyAlignment="1">
      <alignment horizontal="center" vertical="center" wrapText="1"/>
    </xf>
    <xf numFmtId="0" fontId="7" fillId="0" borderId="0" xfId="0" applyFont="1" applyAlignment="1">
      <alignment horizontal="center" vertical="center" wrapText="1"/>
    </xf>
    <xf numFmtId="4" fontId="7" fillId="3" borderId="0" xfId="0" applyNumberFormat="1" applyFont="1" applyFill="1" applyAlignment="1">
      <alignment horizontal="center" vertical="center"/>
    </xf>
    <xf numFmtId="165" fontId="7" fillId="0" borderId="0" xfId="0" quotePrefix="1" applyNumberFormat="1" applyFont="1" applyAlignment="1">
      <alignment horizontal="center" vertical="center" wrapText="1"/>
    </xf>
    <xf numFmtId="3" fontId="7" fillId="0" borderId="0" xfId="0" quotePrefix="1" applyNumberFormat="1" applyFont="1" applyAlignment="1">
      <alignment horizontal="center" vertical="center" wrapText="1"/>
    </xf>
    <xf numFmtId="1" fontId="3" fillId="0" borderId="36" xfId="0" applyNumberFormat="1" applyFont="1" applyBorder="1" applyAlignment="1">
      <alignment horizontal="center" vertical="center" wrapText="1"/>
    </xf>
    <xf numFmtId="3" fontId="7" fillId="0" borderId="36" xfId="0" quotePrefix="1" applyNumberFormat="1" applyFont="1" applyBorder="1" applyAlignment="1">
      <alignment horizontal="center" vertical="center" wrapText="1"/>
    </xf>
    <xf numFmtId="1" fontId="3" fillId="7" borderId="43" xfId="0" applyNumberFormat="1" applyFont="1" applyFill="1" applyBorder="1" applyAlignment="1">
      <alignment horizontal="center" vertical="center" wrapText="1"/>
    </xf>
    <xf numFmtId="0" fontId="3" fillId="7" borderId="30" xfId="0" applyFont="1" applyFill="1" applyBorder="1" applyAlignment="1">
      <alignment horizontal="center" vertical="center" wrapText="1"/>
    </xf>
    <xf numFmtId="166" fontId="11" fillId="7" borderId="31" xfId="3" applyNumberFormat="1" applyFont="1" applyFill="1" applyBorder="1" applyAlignment="1">
      <alignment horizontal="center" vertical="center" wrapText="1"/>
    </xf>
    <xf numFmtId="166" fontId="7" fillId="7" borderId="31" xfId="3" quotePrefix="1" applyNumberFormat="1" applyFont="1" applyFill="1" applyBorder="1" applyAlignment="1">
      <alignment horizontal="center" vertical="center" wrapText="1"/>
    </xf>
    <xf numFmtId="166" fontId="15" fillId="7" borderId="31" xfId="3" applyNumberFormat="1" applyFont="1" applyFill="1" applyBorder="1" applyAlignment="1">
      <alignment horizontal="center" vertical="center" wrapText="1"/>
    </xf>
    <xf numFmtId="166" fontId="10" fillId="7" borderId="32" xfId="3" applyNumberFormat="1" applyFont="1" applyFill="1" applyBorder="1" applyAlignment="1">
      <alignment horizontal="center" vertical="center" wrapText="1"/>
    </xf>
    <xf numFmtId="0" fontId="7" fillId="7" borderId="38"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7" fillId="7" borderId="31" xfId="0" applyFont="1" applyFill="1" applyBorder="1" applyAlignment="1">
      <alignment horizontal="center" vertical="center" wrapText="1"/>
    </xf>
    <xf numFmtId="4" fontId="7" fillId="7" borderId="31" xfId="0" applyNumberFormat="1" applyFont="1" applyFill="1" applyBorder="1" applyAlignment="1">
      <alignment horizontal="center" vertical="center" wrapText="1"/>
    </xf>
    <xf numFmtId="4" fontId="7" fillId="7" borderId="36" xfId="0" applyNumberFormat="1" applyFont="1" applyFill="1" applyBorder="1" applyAlignment="1">
      <alignment horizontal="center" vertical="center"/>
    </xf>
    <xf numFmtId="165" fontId="7" fillId="7" borderId="44" xfId="0" quotePrefix="1" applyNumberFormat="1" applyFont="1" applyFill="1" applyBorder="1" applyAlignment="1">
      <alignment horizontal="center" vertical="center" wrapText="1"/>
    </xf>
    <xf numFmtId="3" fontId="7" fillId="7" borderId="44" xfId="0" quotePrefix="1" applyNumberFormat="1" applyFont="1" applyFill="1" applyBorder="1" applyAlignment="1">
      <alignment horizontal="center" vertical="center" wrapText="1"/>
    </xf>
    <xf numFmtId="166" fontId="10" fillId="7" borderId="41" xfId="3" applyNumberFormat="1" applyFont="1" applyFill="1" applyBorder="1" applyAlignment="1">
      <alignment horizontal="center" vertical="center" wrapText="1"/>
    </xf>
    <xf numFmtId="166" fontId="10" fillId="7" borderId="31" xfId="3" applyNumberFormat="1" applyFont="1" applyFill="1" applyBorder="1" applyAlignment="1">
      <alignment horizontal="center" vertical="center" wrapText="1"/>
    </xf>
    <xf numFmtId="166" fontId="12" fillId="7" borderId="45" xfId="3" applyNumberFormat="1" applyFont="1" applyFill="1" applyBorder="1" applyAlignment="1">
      <alignment horizontal="center" vertical="center" wrapText="1"/>
    </xf>
    <xf numFmtId="166" fontId="12" fillId="7" borderId="31" xfId="3" applyNumberFormat="1" applyFont="1" applyFill="1" applyBorder="1" applyAlignment="1">
      <alignment horizontal="center" vertical="center" wrapText="1"/>
    </xf>
    <xf numFmtId="166" fontId="12" fillId="7" borderId="46" xfId="3" applyNumberFormat="1" applyFont="1" applyFill="1" applyBorder="1" applyAlignment="1">
      <alignment horizontal="center" vertical="center" wrapText="1"/>
    </xf>
    <xf numFmtId="165" fontId="13" fillId="7" borderId="31" xfId="0" quotePrefix="1" applyNumberFormat="1" applyFont="1" applyFill="1" applyBorder="1" applyAlignment="1">
      <alignment horizontal="center" vertical="center" wrapText="1"/>
    </xf>
    <xf numFmtId="166" fontId="7" fillId="7" borderId="32" xfId="3" applyNumberFormat="1" applyFont="1" applyFill="1" applyBorder="1" applyAlignment="1">
      <alignment horizontal="center" vertical="center" wrapText="1"/>
    </xf>
    <xf numFmtId="4" fontId="7" fillId="7" borderId="31" xfId="0" applyNumberFormat="1" applyFont="1" applyFill="1" applyBorder="1" applyAlignment="1">
      <alignment horizontal="center" vertical="center"/>
    </xf>
    <xf numFmtId="166" fontId="10" fillId="7" borderId="45" xfId="3" applyNumberFormat="1" applyFont="1" applyFill="1" applyBorder="1" applyAlignment="1">
      <alignment horizontal="center" vertical="center" wrapText="1"/>
    </xf>
    <xf numFmtId="166" fontId="10" fillId="7" borderId="36" xfId="3" applyNumberFormat="1" applyFont="1" applyFill="1" applyBorder="1" applyAlignment="1">
      <alignment horizontal="center" vertical="center" wrapText="1"/>
    </xf>
    <xf numFmtId="166" fontId="7" fillId="7" borderId="37" xfId="3" applyNumberFormat="1" applyFont="1" applyFill="1" applyBorder="1" applyAlignment="1">
      <alignment horizontal="center" vertical="center" wrapText="1"/>
    </xf>
    <xf numFmtId="166" fontId="10" fillId="7" borderId="37" xfId="3" applyNumberFormat="1" applyFont="1" applyFill="1" applyBorder="1" applyAlignment="1">
      <alignment horizontal="center" vertical="center" wrapText="1"/>
    </xf>
    <xf numFmtId="3" fontId="7" fillId="7" borderId="32" xfId="0" quotePrefix="1" applyNumberFormat="1" applyFont="1" applyFill="1" applyBorder="1" applyAlignment="1">
      <alignment horizontal="center" vertical="center" wrapText="1"/>
    </xf>
    <xf numFmtId="166" fontId="10" fillId="7" borderId="30" xfId="3" applyNumberFormat="1" applyFont="1" applyFill="1" applyBorder="1" applyAlignment="1">
      <alignment horizontal="center" vertical="center" wrapText="1"/>
    </xf>
    <xf numFmtId="166" fontId="7" fillId="7" borderId="31" xfId="3" applyNumberFormat="1" applyFont="1" applyFill="1" applyBorder="1" applyAlignment="1">
      <alignment horizontal="center" vertical="center" wrapText="1"/>
    </xf>
    <xf numFmtId="165" fontId="13" fillId="7" borderId="14" xfId="0" quotePrefix="1" applyNumberFormat="1" applyFont="1" applyFill="1" applyBorder="1" applyAlignment="1">
      <alignment horizontal="center" vertical="center" wrapText="1"/>
    </xf>
    <xf numFmtId="4" fontId="7" fillId="7" borderId="36" xfId="0" quotePrefix="1" applyNumberFormat="1" applyFont="1" applyFill="1" applyBorder="1" applyAlignment="1">
      <alignment horizontal="center" vertical="center"/>
    </xf>
    <xf numFmtId="165" fontId="7" fillId="7" borderId="36" xfId="0" quotePrefix="1" applyNumberFormat="1" applyFont="1" applyFill="1" applyBorder="1" applyAlignment="1">
      <alignment horizontal="center" vertical="center" wrapText="1"/>
    </xf>
    <xf numFmtId="3" fontId="7" fillId="7" borderId="47" xfId="0" quotePrefix="1" applyNumberFormat="1" applyFont="1" applyFill="1" applyBorder="1" applyAlignment="1">
      <alignment horizontal="center" vertical="center" wrapText="1"/>
    </xf>
    <xf numFmtId="166" fontId="10" fillId="7" borderId="50" xfId="3" applyNumberFormat="1" applyFont="1" applyFill="1" applyBorder="1" applyAlignment="1">
      <alignment horizontal="center" vertical="center" wrapText="1"/>
    </xf>
    <xf numFmtId="166" fontId="10" fillId="7" borderId="14" xfId="3" applyNumberFormat="1" applyFont="1" applyFill="1" applyBorder="1" applyAlignment="1">
      <alignment horizontal="center" vertical="center" wrapText="1"/>
    </xf>
    <xf numFmtId="166" fontId="10" fillId="7" borderId="47" xfId="3" applyNumberFormat="1" applyFont="1" applyFill="1" applyBorder="1" applyAlignment="1">
      <alignment horizontal="center" vertical="center" wrapText="1"/>
    </xf>
    <xf numFmtId="166" fontId="7" fillId="7" borderId="50" xfId="3" applyNumberFormat="1" applyFont="1" applyFill="1" applyBorder="1" applyAlignment="1">
      <alignment horizontal="center" vertical="center" wrapText="1"/>
    </xf>
    <xf numFmtId="166" fontId="7" fillId="7" borderId="14" xfId="3" applyNumberFormat="1" applyFont="1" applyFill="1" applyBorder="1" applyAlignment="1">
      <alignment horizontal="center" vertical="center" wrapText="1"/>
    </xf>
    <xf numFmtId="0" fontId="7" fillId="7" borderId="14" xfId="0" applyFont="1" applyFill="1" applyBorder="1" applyAlignment="1">
      <alignment horizontal="center" vertical="center"/>
    </xf>
    <xf numFmtId="166" fontId="7" fillId="7" borderId="51" xfId="3" applyNumberFormat="1" applyFont="1" applyFill="1" applyBorder="1" applyAlignment="1">
      <alignment horizontal="center" vertical="center" wrapText="1"/>
    </xf>
    <xf numFmtId="166" fontId="7" fillId="7" borderId="45" xfId="3" applyNumberFormat="1" applyFont="1" applyFill="1" applyBorder="1" applyAlignment="1">
      <alignment horizontal="center" vertical="center" wrapText="1"/>
    </xf>
    <xf numFmtId="166" fontId="7" fillId="7" borderId="46" xfId="3" applyNumberFormat="1" applyFont="1" applyFill="1" applyBorder="1" applyAlignment="1">
      <alignment horizontal="center" vertical="center" wrapText="1"/>
    </xf>
    <xf numFmtId="1" fontId="3" fillId="7" borderId="36" xfId="0" applyNumberFormat="1" applyFont="1" applyFill="1" applyBorder="1" applyAlignment="1">
      <alignment horizontal="center" vertical="center" wrapText="1"/>
    </xf>
    <xf numFmtId="0" fontId="3" fillId="7" borderId="36" xfId="0" applyFont="1" applyFill="1" applyBorder="1" applyAlignment="1">
      <alignment horizontal="center" vertical="center" wrapText="1"/>
    </xf>
    <xf numFmtId="165" fontId="13" fillId="7" borderId="36" xfId="0" quotePrefix="1" applyNumberFormat="1" applyFont="1" applyFill="1" applyBorder="1" applyAlignment="1">
      <alignment horizontal="center" vertical="center" wrapText="1"/>
    </xf>
    <xf numFmtId="166" fontId="11" fillId="7" borderId="36" xfId="3" applyNumberFormat="1" applyFont="1" applyFill="1" applyBorder="1" applyAlignment="1">
      <alignment horizontal="center" vertical="center" wrapText="1"/>
    </xf>
    <xf numFmtId="166" fontId="10" fillId="7" borderId="31" xfId="3" applyNumberFormat="1" applyFont="1" applyFill="1" applyBorder="1" applyAlignment="1">
      <alignment horizontal="left" vertical="center" wrapText="1"/>
    </xf>
    <xf numFmtId="1" fontId="10" fillId="7" borderId="32" xfId="3" applyNumberFormat="1" applyFont="1" applyFill="1" applyBorder="1" applyAlignment="1">
      <alignment horizontal="center" vertical="center" wrapText="1"/>
    </xf>
    <xf numFmtId="166" fontId="7" fillId="7" borderId="36" xfId="3" applyNumberFormat="1" applyFont="1" applyFill="1" applyBorder="1" applyAlignment="1">
      <alignment horizontal="center" vertical="center" wrapText="1"/>
    </xf>
    <xf numFmtId="0" fontId="25" fillId="7" borderId="36" xfId="4" applyFill="1" applyBorder="1" applyAlignment="1">
      <alignment horizontal="center" vertical="center" wrapText="1"/>
    </xf>
    <xf numFmtId="0" fontId="7" fillId="7" borderId="36" xfId="0" applyFont="1" applyFill="1" applyBorder="1" applyAlignment="1">
      <alignment horizontal="center" vertical="center" wrapText="1"/>
    </xf>
    <xf numFmtId="9" fontId="26" fillId="0" borderId="36" xfId="2" applyFont="1" applyFill="1" applyBorder="1" applyAlignment="1">
      <alignment horizontal="center" vertical="center" wrapText="1"/>
    </xf>
    <xf numFmtId="0" fontId="29" fillId="0" borderId="0" xfId="5" applyFont="1"/>
    <xf numFmtId="0" fontId="30" fillId="0" borderId="0" xfId="5" applyFont="1"/>
    <xf numFmtId="0" fontId="31" fillId="0" borderId="0" xfId="5" applyFont="1"/>
    <xf numFmtId="0" fontId="32" fillId="8" borderId="36" xfId="5" applyFont="1" applyFill="1" applyBorder="1" applyAlignment="1">
      <alignment horizontal="center" vertical="center" wrapText="1"/>
    </xf>
    <xf numFmtId="2" fontId="26" fillId="9" borderId="36" xfId="2" applyNumberFormat="1" applyFont="1" applyFill="1" applyBorder="1" applyAlignment="1">
      <alignment horizontal="center" vertical="center" wrapText="1"/>
    </xf>
    <xf numFmtId="0" fontId="29" fillId="0" borderId="0" xfId="5" applyFont="1" applyAlignment="1">
      <alignment vertical="center"/>
    </xf>
    <xf numFmtId="2" fontId="26" fillId="0" borderId="36" xfId="2" applyNumberFormat="1" applyFont="1" applyBorder="1" applyAlignment="1">
      <alignment horizontal="center" vertical="center" wrapText="1"/>
    </xf>
    <xf numFmtId="167" fontId="29" fillId="0" borderId="0" xfId="5" applyNumberFormat="1" applyFont="1" applyAlignment="1">
      <alignment vertical="center"/>
    </xf>
    <xf numFmtId="3" fontId="29" fillId="0" borderId="0" xfId="5" applyNumberFormat="1" applyFont="1"/>
    <xf numFmtId="0" fontId="1" fillId="0" borderId="0" xfId="0" applyFont="1"/>
    <xf numFmtId="0" fontId="7" fillId="0" borderId="0" xfId="0" applyFont="1"/>
    <xf numFmtId="0" fontId="34" fillId="0" borderId="0" xfId="0" applyFont="1" applyAlignment="1">
      <alignment vertical="center"/>
    </xf>
    <xf numFmtId="0" fontId="7" fillId="10" borderId="14" xfId="0" applyFont="1" applyFill="1" applyBorder="1" applyAlignment="1">
      <alignment horizontal="center" vertical="center" wrapText="1"/>
    </xf>
    <xf numFmtId="4" fontId="7" fillId="0" borderId="14" xfId="0" applyNumberFormat="1" applyFont="1" applyBorder="1" applyAlignment="1">
      <alignment horizontal="right" vertical="center" wrapText="1"/>
    </xf>
    <xf numFmtId="0" fontId="7" fillId="0" borderId="0" xfId="0" applyFont="1" applyAlignment="1">
      <alignment horizontal="center"/>
    </xf>
    <xf numFmtId="0" fontId="36" fillId="0" borderId="0" xfId="0" applyFont="1" applyAlignment="1">
      <alignment horizontal="center"/>
    </xf>
    <xf numFmtId="0" fontId="37" fillId="0" borderId="0" xfId="0" applyFont="1" applyAlignment="1">
      <alignment horizontal="left" vertical="center"/>
    </xf>
    <xf numFmtId="0" fontId="3" fillId="0" borderId="0" xfId="0" applyFont="1" applyAlignment="1">
      <alignment horizontal="center"/>
    </xf>
    <xf numFmtId="0" fontId="38" fillId="0" borderId="0" xfId="0" applyFont="1"/>
    <xf numFmtId="0" fontId="27" fillId="0" borderId="0" xfId="0" applyFont="1" applyAlignment="1">
      <alignment vertical="center"/>
    </xf>
    <xf numFmtId="0" fontId="28" fillId="0" borderId="0" xfId="0" applyFont="1" applyAlignment="1">
      <alignment horizontal="center" vertical="center"/>
    </xf>
    <xf numFmtId="0" fontId="36" fillId="0" borderId="0" xfId="0" applyFont="1" applyAlignment="1">
      <alignment horizontal="center" vertical="center"/>
    </xf>
    <xf numFmtId="0" fontId="1" fillId="0" borderId="0" xfId="0" applyFont="1" applyAlignment="1">
      <alignment horizontal="center"/>
    </xf>
    <xf numFmtId="0" fontId="39" fillId="11" borderId="52" xfId="0" applyFont="1" applyFill="1" applyBorder="1" applyAlignment="1">
      <alignment horizontal="center" vertical="center" wrapText="1"/>
    </xf>
    <xf numFmtId="0" fontId="26" fillId="0" borderId="52" xfId="0" applyFont="1" applyBorder="1" applyAlignment="1">
      <alignment horizontal="center" vertical="center"/>
    </xf>
    <xf numFmtId="4" fontId="26" fillId="0" borderId="52" xfId="0" applyNumberFormat="1" applyFont="1" applyBorder="1" applyAlignment="1">
      <alignment horizontal="center" vertical="center"/>
    </xf>
    <xf numFmtId="0" fontId="39" fillId="0" borderId="52" xfId="0" applyFont="1" applyBorder="1" applyAlignment="1">
      <alignment horizontal="center" vertical="center"/>
    </xf>
    <xf numFmtId="4" fontId="35" fillId="0" borderId="52" xfId="0" applyNumberFormat="1" applyFont="1" applyBorder="1" applyAlignment="1">
      <alignment horizontal="center" vertical="center"/>
    </xf>
    <xf numFmtId="4" fontId="39" fillId="0" borderId="52" xfId="0" applyNumberFormat="1" applyFont="1" applyBorder="1" applyAlignment="1">
      <alignment horizontal="center" vertical="center"/>
    </xf>
    <xf numFmtId="0" fontId="39" fillId="12" borderId="52" xfId="0" applyFont="1" applyFill="1" applyBorder="1" applyAlignment="1">
      <alignment horizontal="center" vertical="center"/>
    </xf>
    <xf numFmtId="0" fontId="39" fillId="12" borderId="52" xfId="0" applyFont="1" applyFill="1" applyBorder="1" applyAlignment="1">
      <alignment horizontal="center" vertical="center" wrapText="1"/>
    </xf>
    <xf numFmtId="0" fontId="26" fillId="0" borderId="52" xfId="0" applyFont="1" applyBorder="1" applyAlignment="1">
      <alignment horizontal="left" vertical="center" wrapText="1"/>
    </xf>
    <xf numFmtId="0" fontId="26" fillId="0" borderId="52" xfId="0" applyFont="1" applyBorder="1" applyAlignment="1">
      <alignment horizontal="center" vertical="center" wrapText="1"/>
    </xf>
    <xf numFmtId="9" fontId="26" fillId="0" borderId="52" xfId="2" quotePrefix="1" applyFont="1" applyFill="1" applyBorder="1" applyAlignment="1">
      <alignment horizontal="center" vertical="center" wrapText="1"/>
    </xf>
    <xf numFmtId="9" fontId="26" fillId="0" borderId="52" xfId="2" applyFont="1" applyFill="1" applyBorder="1" applyAlignment="1">
      <alignment horizontal="center" vertical="center" wrapText="1"/>
    </xf>
    <xf numFmtId="0" fontId="32" fillId="8" borderId="53" xfId="5" applyFont="1" applyFill="1" applyBorder="1" applyAlignment="1">
      <alignment horizontal="center" vertical="center" wrapText="1"/>
    </xf>
    <xf numFmtId="9" fontId="26" fillId="9" borderId="53" xfId="2" applyFont="1" applyFill="1" applyBorder="1" applyAlignment="1">
      <alignment horizontal="center" vertical="center" wrapText="1"/>
    </xf>
    <xf numFmtId="9" fontId="26" fillId="0" borderId="53" xfId="2" applyFont="1" applyBorder="1" applyAlignment="1">
      <alignment horizontal="center" vertical="center" wrapText="1"/>
    </xf>
    <xf numFmtId="9" fontId="26" fillId="0" borderId="52" xfId="2" quotePrefix="1" applyFont="1" applyFill="1" applyBorder="1" applyAlignment="1">
      <alignment horizontal="center" vertical="center"/>
    </xf>
    <xf numFmtId="9" fontId="26" fillId="0" borderId="52" xfId="2" quotePrefix="1" applyFont="1" applyBorder="1" applyAlignment="1">
      <alignment horizontal="center" vertical="center" wrapText="1"/>
    </xf>
    <xf numFmtId="0" fontId="33" fillId="0" borderId="52" xfId="0" applyFont="1" applyBorder="1" applyAlignment="1">
      <alignment horizontal="center" vertical="center" wrapText="1"/>
    </xf>
    <xf numFmtId="9" fontId="33" fillId="0" borderId="52" xfId="2" quotePrefix="1" applyFont="1" applyFill="1" applyBorder="1" applyAlignment="1">
      <alignment horizontal="center" vertical="center"/>
    </xf>
    <xf numFmtId="9" fontId="26" fillId="0" borderId="52" xfId="2" applyFont="1" applyBorder="1" applyAlignment="1">
      <alignment horizontal="center" vertical="center" wrapText="1"/>
    </xf>
    <xf numFmtId="0" fontId="40" fillId="0" borderId="0" xfId="0" applyFont="1" applyAlignment="1">
      <alignment horizontal="center"/>
    </xf>
    <xf numFmtId="0" fontId="40" fillId="0" borderId="0" xfId="0" applyFont="1"/>
    <xf numFmtId="0" fontId="39" fillId="0" borderId="0" xfId="0" applyFont="1"/>
    <xf numFmtId="0" fontId="32" fillId="14" borderId="55" xfId="5" applyFont="1" applyFill="1" applyBorder="1" applyAlignment="1">
      <alignment horizontal="center" vertical="center"/>
    </xf>
    <xf numFmtId="9" fontId="26" fillId="13" borderId="52" xfId="2" applyFont="1" applyFill="1" applyBorder="1" applyAlignment="1">
      <alignment horizontal="center" vertical="center" wrapText="1"/>
    </xf>
    <xf numFmtId="9" fontId="26" fillId="0" borderId="56" xfId="2" applyFont="1" applyFill="1" applyBorder="1" applyAlignment="1">
      <alignment horizontal="center" vertical="center" wrapText="1"/>
    </xf>
    <xf numFmtId="0" fontId="41" fillId="0" borderId="52" xfId="0" applyFont="1" applyBorder="1" applyAlignment="1">
      <alignment horizontal="center" vertical="center" wrapText="1"/>
    </xf>
    <xf numFmtId="9" fontId="41" fillId="0" borderId="52" xfId="2" quotePrefix="1" applyFont="1" applyFill="1" applyBorder="1" applyAlignment="1">
      <alignment horizontal="center" vertical="center" wrapText="1"/>
    </xf>
    <xf numFmtId="9" fontId="41" fillId="0" borderId="52" xfId="2" applyFont="1" applyFill="1" applyBorder="1" applyAlignment="1">
      <alignment horizontal="center" vertical="center" wrapText="1"/>
    </xf>
    <xf numFmtId="9" fontId="41" fillId="0" borderId="56" xfId="2" applyFont="1" applyFill="1" applyBorder="1" applyAlignment="1">
      <alignment horizontal="center" vertical="center" wrapText="1"/>
    </xf>
    <xf numFmtId="9" fontId="26" fillId="0" borderId="53" xfId="2" applyFont="1" applyFill="1" applyBorder="1" applyAlignment="1">
      <alignment horizontal="center" vertical="center" wrapText="1"/>
    </xf>
    <xf numFmtId="10" fontId="26" fillId="0" borderId="52" xfId="2" quotePrefix="1" applyNumberFormat="1" applyFont="1" applyFill="1" applyBorder="1" applyAlignment="1">
      <alignment horizontal="center" vertical="center"/>
    </xf>
    <xf numFmtId="168" fontId="42" fillId="14" borderId="55" xfId="5" applyNumberFormat="1" applyFont="1" applyFill="1" applyBorder="1" applyAlignment="1">
      <alignment horizontal="center" vertical="center"/>
    </xf>
    <xf numFmtId="169" fontId="26" fillId="0" borderId="52" xfId="0" applyNumberFormat="1" applyFont="1" applyBorder="1" applyAlignment="1">
      <alignment horizontal="center" vertical="center"/>
    </xf>
    <xf numFmtId="0" fontId="29" fillId="0" borderId="0" xfId="5" applyFont="1" applyAlignment="1">
      <alignment horizontal="center" vertical="center"/>
    </xf>
    <xf numFmtId="3" fontId="29" fillId="0" borderId="0" xfId="5" applyNumberFormat="1" applyFont="1" applyAlignment="1">
      <alignment horizontal="center" vertical="center"/>
    </xf>
    <xf numFmtId="168" fontId="26" fillId="0" borderId="52" xfId="0" applyNumberFormat="1" applyFont="1" applyBorder="1" applyAlignment="1">
      <alignment horizontal="center" vertical="center"/>
    </xf>
    <xf numFmtId="0" fontId="31" fillId="0" borderId="0" xfId="5" applyFont="1" applyAlignment="1">
      <alignment horizontal="center" vertical="center"/>
    </xf>
    <xf numFmtId="0" fontId="26" fillId="15" borderId="52" xfId="0" applyFont="1" applyFill="1" applyBorder="1" applyAlignment="1">
      <alignment horizontal="center" vertical="center"/>
    </xf>
    <xf numFmtId="4" fontId="26" fillId="15" borderId="52" xfId="0" applyNumberFormat="1" applyFont="1" applyFill="1" applyBorder="1" applyAlignment="1">
      <alignment horizontal="center" vertical="center"/>
    </xf>
    <xf numFmtId="9" fontId="33" fillId="0" borderId="52" xfId="2" quotePrefix="1" applyFont="1" applyFill="1" applyBorder="1" applyAlignment="1">
      <alignment horizontal="center" vertical="center" wrapText="1"/>
    </xf>
    <xf numFmtId="0" fontId="39" fillId="0" borderId="0" xfId="0" applyFont="1" applyAlignment="1">
      <alignment horizontal="center" vertical="center"/>
    </xf>
    <xf numFmtId="0" fontId="40" fillId="0" borderId="0" xfId="0" applyFont="1" applyAlignment="1">
      <alignment horizontal="center"/>
    </xf>
    <xf numFmtId="0" fontId="39" fillId="0" borderId="0" xfId="0" applyFont="1" applyAlignment="1">
      <alignment horizontal="center"/>
    </xf>
    <xf numFmtId="0" fontId="32" fillId="12" borderId="54" xfId="5" applyFont="1" applyFill="1" applyBorder="1" applyAlignment="1">
      <alignment horizontal="center" vertical="center" wrapText="1"/>
    </xf>
    <xf numFmtId="0" fontId="32" fillId="12" borderId="55" xfId="5" applyFont="1" applyFill="1" applyBorder="1" applyAlignment="1">
      <alignment horizontal="center" vertical="center" wrapText="1"/>
    </xf>
    <xf numFmtId="0" fontId="7" fillId="7" borderId="31" xfId="0" applyFont="1" applyFill="1" applyBorder="1" applyAlignment="1">
      <alignment horizontal="center" vertical="center"/>
    </xf>
    <xf numFmtId="0" fontId="7" fillId="7" borderId="15" xfId="0" applyFont="1" applyFill="1" applyBorder="1" applyAlignment="1">
      <alignment horizontal="center" vertical="center"/>
    </xf>
    <xf numFmtId="166" fontId="7" fillId="7" borderId="32" xfId="3" applyNumberFormat="1" applyFont="1" applyFill="1" applyBorder="1" applyAlignment="1">
      <alignment horizontal="center" vertical="center" wrapText="1"/>
    </xf>
    <xf numFmtId="166" fontId="7" fillId="7" borderId="16" xfId="3" applyNumberFormat="1" applyFont="1" applyFill="1" applyBorder="1" applyAlignment="1">
      <alignment horizontal="center" vertical="center" wrapText="1"/>
    </xf>
    <xf numFmtId="3" fontId="7" fillId="7" borderId="32" xfId="0" quotePrefix="1" applyNumberFormat="1" applyFont="1" applyFill="1" applyBorder="1" applyAlignment="1">
      <alignment horizontal="center" vertical="center" wrapText="1"/>
    </xf>
    <xf numFmtId="3" fontId="7" fillId="7" borderId="16" xfId="0" quotePrefix="1" applyNumberFormat="1" applyFont="1" applyFill="1" applyBorder="1" applyAlignment="1">
      <alignment horizontal="center" vertical="center" wrapText="1"/>
    </xf>
    <xf numFmtId="166" fontId="10" fillId="7" borderId="30" xfId="3" applyNumberFormat="1" applyFont="1" applyFill="1" applyBorder="1" applyAlignment="1">
      <alignment horizontal="center" vertical="center" wrapText="1"/>
    </xf>
    <xf numFmtId="166" fontId="10" fillId="7" borderId="13" xfId="3" applyNumberFormat="1" applyFont="1" applyFill="1" applyBorder="1" applyAlignment="1">
      <alignment horizontal="center" vertical="center" wrapText="1"/>
    </xf>
    <xf numFmtId="166" fontId="10" fillId="7" borderId="31" xfId="3" applyNumberFormat="1" applyFont="1" applyFill="1" applyBorder="1" applyAlignment="1">
      <alignment horizontal="center" vertical="center" wrapText="1"/>
    </xf>
    <xf numFmtId="166" fontId="10" fillId="7" borderId="15" xfId="3" applyNumberFormat="1" applyFont="1" applyFill="1" applyBorder="1" applyAlignment="1">
      <alignment horizontal="center" vertical="center" wrapText="1"/>
    </xf>
    <xf numFmtId="166" fontId="10" fillId="7" borderId="32" xfId="3" applyNumberFormat="1" applyFont="1" applyFill="1" applyBorder="1" applyAlignment="1">
      <alignment horizontal="center" vertical="center" wrapText="1"/>
    </xf>
    <xf numFmtId="166" fontId="10" fillId="7" borderId="16" xfId="3" applyNumberFormat="1" applyFont="1" applyFill="1" applyBorder="1" applyAlignment="1">
      <alignment horizontal="center" vertical="center" wrapText="1"/>
    </xf>
    <xf numFmtId="166" fontId="7" fillId="7" borderId="30" xfId="3" applyNumberFormat="1" applyFont="1" applyFill="1" applyBorder="1" applyAlignment="1">
      <alignment horizontal="center" vertical="center" wrapText="1"/>
    </xf>
    <xf numFmtId="166" fontId="7" fillId="7" borderId="13" xfId="3" applyNumberFormat="1" applyFont="1" applyFill="1" applyBorder="1" applyAlignment="1">
      <alignment horizontal="center" vertical="center" wrapText="1"/>
    </xf>
    <xf numFmtId="166" fontId="7" fillId="7" borderId="31" xfId="3" applyNumberFormat="1" applyFont="1" applyFill="1" applyBorder="1" applyAlignment="1">
      <alignment horizontal="center" vertical="center" wrapText="1"/>
    </xf>
    <xf numFmtId="166" fontId="7" fillId="7" borderId="15" xfId="3" applyNumberFormat="1" applyFont="1" applyFill="1" applyBorder="1" applyAlignment="1">
      <alignment horizontal="center" vertical="center" wrapText="1"/>
    </xf>
    <xf numFmtId="0" fontId="3" fillId="7" borderId="30" xfId="0" applyFont="1" applyFill="1" applyBorder="1" applyAlignment="1">
      <alignment horizontal="center" vertical="center" wrapText="1"/>
    </xf>
    <xf numFmtId="0" fontId="3" fillId="7" borderId="34" xfId="0" applyFont="1" applyFill="1" applyBorder="1" applyAlignment="1">
      <alignment horizontal="center" vertical="center" wrapText="1"/>
    </xf>
    <xf numFmtId="0" fontId="3" fillId="7" borderId="13" xfId="0" applyFont="1" applyFill="1" applyBorder="1" applyAlignment="1">
      <alignment horizontal="center" vertical="center" wrapText="1"/>
    </xf>
    <xf numFmtId="165" fontId="13" fillId="7" borderId="31" xfId="0" quotePrefix="1" applyNumberFormat="1" applyFont="1" applyFill="1" applyBorder="1" applyAlignment="1">
      <alignment horizontal="center" vertical="center" wrapText="1"/>
    </xf>
    <xf numFmtId="165" fontId="13" fillId="7" borderId="15" xfId="0" quotePrefix="1" applyNumberFormat="1" applyFont="1" applyFill="1" applyBorder="1" applyAlignment="1">
      <alignment horizontal="center" vertical="center" wrapText="1"/>
    </xf>
    <xf numFmtId="166" fontId="11" fillId="7" borderId="31" xfId="3" applyNumberFormat="1" applyFont="1" applyFill="1" applyBorder="1" applyAlignment="1">
      <alignment horizontal="center" vertical="center" wrapText="1"/>
    </xf>
    <xf numFmtId="166" fontId="11" fillId="7" borderId="14" xfId="3" applyNumberFormat="1" applyFont="1" applyFill="1" applyBorder="1" applyAlignment="1">
      <alignment horizontal="center" vertical="center" wrapText="1"/>
    </xf>
    <xf numFmtId="166" fontId="11" fillId="7" borderId="15" xfId="3" applyNumberFormat="1" applyFont="1" applyFill="1" applyBorder="1" applyAlignment="1">
      <alignment horizontal="center" vertical="center" wrapText="1"/>
    </xf>
    <xf numFmtId="166" fontId="7" fillId="7" borderId="31" xfId="3" quotePrefix="1" applyNumberFormat="1" applyFont="1" applyFill="1" applyBorder="1" applyAlignment="1">
      <alignment horizontal="center" vertical="center" wrapText="1"/>
    </xf>
    <xf numFmtId="166" fontId="7" fillId="7" borderId="14" xfId="3" quotePrefix="1" applyNumberFormat="1" applyFont="1" applyFill="1" applyBorder="1" applyAlignment="1">
      <alignment horizontal="center" vertical="center" wrapText="1"/>
    </xf>
    <xf numFmtId="166" fontId="7" fillId="7" borderId="15" xfId="3" quotePrefix="1" applyNumberFormat="1" applyFont="1" applyFill="1" applyBorder="1" applyAlignment="1">
      <alignment horizontal="center" vertical="center" wrapText="1"/>
    </xf>
    <xf numFmtId="4" fontId="7" fillId="7" borderId="31" xfId="0" applyNumberFormat="1" applyFont="1" applyFill="1" applyBorder="1" applyAlignment="1">
      <alignment horizontal="center" vertical="center"/>
    </xf>
    <xf numFmtId="4" fontId="7" fillId="7" borderId="14" xfId="0" applyNumberFormat="1" applyFont="1" applyFill="1" applyBorder="1" applyAlignment="1">
      <alignment horizontal="center" vertical="center"/>
    </xf>
    <xf numFmtId="4" fontId="7" fillId="7" borderId="15" xfId="0" applyNumberFormat="1" applyFont="1" applyFill="1" applyBorder="1" applyAlignment="1">
      <alignment horizontal="center" vertical="center"/>
    </xf>
    <xf numFmtId="1" fontId="3" fillId="7" borderId="43" xfId="0" applyNumberFormat="1" applyFont="1" applyFill="1" applyBorder="1" applyAlignment="1">
      <alignment horizontal="center" vertical="center" wrapText="1"/>
    </xf>
    <xf numFmtId="1" fontId="3" fillId="7" borderId="12" xfId="0" applyNumberFormat="1" applyFont="1" applyFill="1" applyBorder="1" applyAlignment="1">
      <alignment horizontal="center" vertical="center" wrapText="1"/>
    </xf>
    <xf numFmtId="1" fontId="3" fillId="7" borderId="33" xfId="0" applyNumberFormat="1" applyFont="1" applyFill="1" applyBorder="1" applyAlignment="1">
      <alignment horizontal="center" vertical="center" wrapText="1"/>
    </xf>
    <xf numFmtId="4" fontId="7" fillId="0" borderId="31" xfId="0" applyNumberFormat="1" applyFont="1" applyBorder="1" applyAlignment="1">
      <alignment horizontal="center" vertical="center" wrapText="1"/>
    </xf>
    <xf numFmtId="4" fontId="7" fillId="0" borderId="15" xfId="0" applyNumberFormat="1" applyFont="1" applyBorder="1" applyAlignment="1">
      <alignment horizontal="center" vertical="center" wrapText="1"/>
    </xf>
    <xf numFmtId="165" fontId="7" fillId="0" borderId="31" xfId="0" quotePrefix="1" applyNumberFormat="1" applyFont="1" applyBorder="1" applyAlignment="1">
      <alignment horizontal="center" vertical="center" wrapText="1"/>
    </xf>
    <xf numFmtId="165" fontId="7" fillId="0" borderId="15" xfId="0" quotePrefix="1" applyNumberFormat="1" applyFont="1" applyBorder="1" applyAlignment="1">
      <alignment horizontal="center" vertical="center" wrapText="1"/>
    </xf>
    <xf numFmtId="3" fontId="7" fillId="0" borderId="32" xfId="0" quotePrefix="1" applyNumberFormat="1" applyFont="1" applyBorder="1" applyAlignment="1">
      <alignment horizontal="center" vertical="center" wrapText="1"/>
    </xf>
    <xf numFmtId="3" fontId="7" fillId="0" borderId="16" xfId="0" quotePrefix="1" applyNumberFormat="1" applyFont="1" applyBorder="1" applyAlignment="1">
      <alignment horizontal="center" vertical="center" wrapText="1"/>
    </xf>
    <xf numFmtId="1" fontId="3" fillId="0" borderId="43" xfId="0" applyNumberFormat="1" applyFont="1" applyBorder="1" applyAlignment="1">
      <alignment horizontal="center" vertical="center" wrapText="1"/>
    </xf>
    <xf numFmtId="1" fontId="3" fillId="0" borderId="33" xfId="0" applyNumberFormat="1" applyFont="1" applyBorder="1" applyAlignment="1">
      <alignment horizontal="center" vertical="center" wrapText="1"/>
    </xf>
    <xf numFmtId="166" fontId="3" fillId="0" borderId="31" xfId="3" applyNumberFormat="1" applyFont="1" applyBorder="1" applyAlignment="1">
      <alignment horizontal="center" vertical="center" wrapText="1"/>
    </xf>
    <xf numFmtId="166" fontId="3" fillId="0" borderId="15" xfId="3" applyNumberFormat="1" applyFont="1" applyBorder="1" applyAlignment="1">
      <alignment horizontal="center" vertical="center" wrapText="1"/>
    </xf>
    <xf numFmtId="166" fontId="7" fillId="0" borderId="31" xfId="3" quotePrefix="1" applyNumberFormat="1" applyFont="1" applyBorder="1" applyAlignment="1">
      <alignment horizontal="center" vertical="center" wrapText="1"/>
    </xf>
    <xf numFmtId="166" fontId="7" fillId="0" borderId="15" xfId="3" quotePrefix="1" applyNumberFormat="1" applyFont="1" applyBorder="1" applyAlignment="1">
      <alignment horizontal="center" vertical="center" wrapText="1"/>
    </xf>
    <xf numFmtId="0" fontId="3" fillId="0" borderId="30" xfId="0" applyFont="1" applyBorder="1" applyAlignment="1">
      <alignment horizontal="center" vertical="center" wrapText="1"/>
    </xf>
    <xf numFmtId="0" fontId="3" fillId="0" borderId="34" xfId="0" applyFont="1" applyBorder="1" applyAlignment="1">
      <alignment horizontal="center" vertical="center" wrapText="1"/>
    </xf>
    <xf numFmtId="165" fontId="13" fillId="0" borderId="31" xfId="0" quotePrefix="1" applyNumberFormat="1" applyFont="1" applyBorder="1" applyAlignment="1">
      <alignment horizontal="center" vertical="center" wrapText="1"/>
    </xf>
    <xf numFmtId="165" fontId="13" fillId="0" borderId="15" xfId="0" quotePrefix="1" applyNumberFormat="1" applyFont="1" applyBorder="1" applyAlignment="1">
      <alignment horizontal="center" vertical="center" wrapText="1"/>
    </xf>
    <xf numFmtId="166" fontId="11" fillId="0" borderId="31" xfId="3" applyNumberFormat="1" applyFont="1" applyBorder="1" applyAlignment="1">
      <alignment horizontal="center" vertical="center" wrapText="1"/>
    </xf>
    <xf numFmtId="166" fontId="11" fillId="0" borderId="15" xfId="3" applyNumberFormat="1" applyFont="1" applyBorder="1" applyAlignment="1">
      <alignment horizontal="center" vertical="center" wrapText="1"/>
    </xf>
    <xf numFmtId="166" fontId="10" fillId="0" borderId="32" xfId="3" applyNumberFormat="1" applyFont="1" applyBorder="1" applyAlignment="1">
      <alignment horizontal="center" vertical="center" wrapText="1"/>
    </xf>
    <xf numFmtId="166" fontId="10" fillId="0" borderId="16" xfId="3" applyNumberFormat="1" applyFont="1" applyBorder="1" applyAlignment="1">
      <alignment horizontal="center" vertical="center" wrapText="1"/>
    </xf>
    <xf numFmtId="4" fontId="7" fillId="0" borderId="31" xfId="0" applyNumberFormat="1" applyFont="1" applyBorder="1" applyAlignment="1">
      <alignment horizontal="center" vertical="center"/>
    </xf>
    <xf numFmtId="4" fontId="7" fillId="0" borderId="15" xfId="0" applyNumberFormat="1" applyFont="1" applyBorder="1" applyAlignment="1">
      <alignment horizontal="center" vertical="center"/>
    </xf>
    <xf numFmtId="165" fontId="3" fillId="0" borderId="30" xfId="0" quotePrefix="1" applyNumberFormat="1" applyFont="1" applyBorder="1" applyAlignment="1">
      <alignment horizontal="center" vertical="center" wrapText="1"/>
    </xf>
    <xf numFmtId="165" fontId="3" fillId="0" borderId="34" xfId="0" quotePrefix="1" applyNumberFormat="1" applyFont="1" applyBorder="1" applyAlignment="1">
      <alignment horizontal="center" vertical="center" wrapText="1"/>
    </xf>
    <xf numFmtId="165" fontId="3" fillId="0" borderId="13" xfId="0" quotePrefix="1" applyNumberFormat="1" applyFont="1" applyBorder="1" applyAlignment="1">
      <alignment horizontal="center" vertical="center" wrapText="1"/>
    </xf>
    <xf numFmtId="1" fontId="3" fillId="0" borderId="43" xfId="0" applyNumberFormat="1" applyFont="1" applyBorder="1" applyAlignment="1">
      <alignment horizontal="center" vertical="center"/>
    </xf>
    <xf numFmtId="1" fontId="3" fillId="0" borderId="33" xfId="0" applyNumberFormat="1" applyFont="1" applyBorder="1" applyAlignment="1">
      <alignment horizontal="center" vertical="center"/>
    </xf>
    <xf numFmtId="166" fontId="10" fillId="0" borderId="31" xfId="3" applyNumberFormat="1" applyFont="1" applyBorder="1" applyAlignment="1">
      <alignment horizontal="center" vertical="center" wrapText="1"/>
    </xf>
    <xf numFmtId="166" fontId="10" fillId="0" borderId="15" xfId="3" applyNumberFormat="1" applyFont="1" applyBorder="1" applyAlignment="1">
      <alignment horizontal="center" vertical="center" wrapText="1"/>
    </xf>
    <xf numFmtId="1" fontId="3" fillId="0" borderId="12" xfId="0" applyNumberFormat="1" applyFont="1" applyBorder="1" applyAlignment="1">
      <alignment horizontal="center" vertical="center" wrapText="1"/>
    </xf>
    <xf numFmtId="165" fontId="13" fillId="0" borderId="14" xfId="0" quotePrefix="1" applyNumberFormat="1" applyFont="1" applyBorder="1" applyAlignment="1">
      <alignment horizontal="center" vertical="center" wrapText="1"/>
    </xf>
    <xf numFmtId="166" fontId="11" fillId="0" borderId="14" xfId="3" applyNumberFormat="1" applyFont="1" applyBorder="1" applyAlignment="1">
      <alignment horizontal="center" vertical="center" wrapText="1"/>
    </xf>
    <xf numFmtId="166" fontId="7" fillId="0" borderId="14" xfId="3" quotePrefix="1" applyNumberFormat="1" applyFont="1" applyBorder="1" applyAlignment="1">
      <alignment horizontal="center" vertical="center" wrapText="1"/>
    </xf>
    <xf numFmtId="166" fontId="7" fillId="0" borderId="32" xfId="3" applyNumberFormat="1" applyFont="1" applyBorder="1" applyAlignment="1">
      <alignment horizontal="center" vertical="center" wrapText="1"/>
    </xf>
    <xf numFmtId="166" fontId="7" fillId="0" borderId="47" xfId="3" applyNumberFormat="1" applyFont="1" applyBorder="1" applyAlignment="1">
      <alignment horizontal="center" vertical="center" wrapText="1"/>
    </xf>
    <xf numFmtId="166" fontId="7" fillId="0" borderId="16" xfId="3" applyNumberFormat="1" applyFont="1" applyBorder="1" applyAlignment="1">
      <alignment horizontal="center" vertical="center" wrapText="1"/>
    </xf>
    <xf numFmtId="166" fontId="12" fillId="0" borderId="30" xfId="3" applyNumberFormat="1" applyFont="1" applyBorder="1" applyAlignment="1">
      <alignment horizontal="center" vertical="center" wrapText="1"/>
    </xf>
    <xf numFmtId="166" fontId="12" fillId="0" borderId="13" xfId="3" applyNumberFormat="1" applyFont="1" applyBorder="1" applyAlignment="1">
      <alignment horizontal="center" vertical="center" wrapText="1"/>
    </xf>
    <xf numFmtId="166" fontId="12" fillId="0" borderId="31" xfId="3" applyNumberFormat="1" applyFont="1" applyBorder="1" applyAlignment="1">
      <alignment horizontal="center" vertical="center" wrapText="1"/>
    </xf>
    <xf numFmtId="166" fontId="12" fillId="0" borderId="15" xfId="3" applyNumberFormat="1" applyFont="1" applyBorder="1" applyAlignment="1">
      <alignment horizontal="center" vertical="center" wrapText="1"/>
    </xf>
    <xf numFmtId="0" fontId="12" fillId="0" borderId="31" xfId="0" applyFont="1" applyBorder="1" applyAlignment="1">
      <alignment horizontal="center" vertical="center" wrapText="1"/>
    </xf>
    <xf numFmtId="0" fontId="12" fillId="0" borderId="15" xfId="0" applyFont="1" applyBorder="1" applyAlignment="1">
      <alignment horizontal="center" vertical="center" wrapText="1"/>
    </xf>
    <xf numFmtId="166" fontId="12" fillId="0" borderId="32" xfId="3" applyNumberFormat="1" applyFont="1" applyBorder="1" applyAlignment="1">
      <alignment horizontal="center" vertical="center" wrapText="1"/>
    </xf>
    <xf numFmtId="166" fontId="12" fillId="0" borderId="16" xfId="3" applyNumberFormat="1" applyFont="1" applyBorder="1" applyAlignment="1">
      <alignment horizontal="center" vertical="center" wrapText="1"/>
    </xf>
    <xf numFmtId="0" fontId="3" fillId="0" borderId="13" xfId="0" applyFont="1" applyBorder="1" applyAlignment="1">
      <alignment horizontal="center" vertical="center" wrapText="1"/>
    </xf>
    <xf numFmtId="4" fontId="7" fillId="0" borderId="14" xfId="0" applyNumberFormat="1" applyFont="1" applyBorder="1" applyAlignment="1">
      <alignment horizontal="center" vertical="center"/>
    </xf>
    <xf numFmtId="166" fontId="10" fillId="0" borderId="30" xfId="3" applyNumberFormat="1" applyFont="1" applyBorder="1" applyAlignment="1">
      <alignment horizontal="center" vertical="center" wrapText="1"/>
    </xf>
    <xf numFmtId="166" fontId="10" fillId="0" borderId="13" xfId="3" applyNumberFormat="1" applyFont="1" applyBorder="1" applyAlignment="1">
      <alignment horizontal="center" vertical="center" wrapText="1"/>
    </xf>
    <xf numFmtId="0" fontId="7" fillId="0" borderId="31" xfId="0" applyFont="1" applyBorder="1" applyAlignment="1">
      <alignment horizontal="center" vertical="center" wrapText="1"/>
    </xf>
    <xf numFmtId="0" fontId="7" fillId="0" borderId="15" xfId="0" applyFont="1" applyBorder="1" applyAlignment="1">
      <alignment horizontal="center" vertical="center" wrapText="1"/>
    </xf>
    <xf numFmtId="166" fontId="10" fillId="0" borderId="47" xfId="3" applyNumberFormat="1" applyFont="1" applyBorder="1" applyAlignment="1">
      <alignment horizontal="center" vertical="center" wrapText="1"/>
    </xf>
    <xf numFmtId="166" fontId="12" fillId="6" borderId="32" xfId="3" applyNumberFormat="1" applyFont="1" applyFill="1" applyBorder="1" applyAlignment="1">
      <alignment horizontal="center" vertical="center" wrapText="1"/>
    </xf>
    <xf numFmtId="166" fontId="12" fillId="6" borderId="16" xfId="3" applyNumberFormat="1" applyFont="1" applyFill="1" applyBorder="1" applyAlignment="1">
      <alignment horizontal="center" vertical="center" wrapText="1"/>
    </xf>
    <xf numFmtId="166" fontId="11" fillId="0" borderId="30" xfId="3" applyNumberFormat="1" applyFont="1" applyBorder="1" applyAlignment="1">
      <alignment horizontal="center" vertical="center" wrapText="1"/>
    </xf>
    <xf numFmtId="166" fontId="11" fillId="0" borderId="13" xfId="3" applyNumberFormat="1" applyFont="1" applyBorder="1" applyAlignment="1">
      <alignment horizontal="center" vertical="center" wrapText="1"/>
    </xf>
    <xf numFmtId="0" fontId="7" fillId="0" borderId="30" xfId="0" applyFont="1" applyBorder="1" applyAlignment="1">
      <alignment horizontal="center" vertical="center" wrapText="1"/>
    </xf>
    <xf numFmtId="0" fontId="7" fillId="0" borderId="13" xfId="0" applyFont="1" applyBorder="1" applyAlignment="1">
      <alignment horizontal="center" vertical="center" wrapText="1"/>
    </xf>
    <xf numFmtId="166" fontId="7" fillId="0" borderId="30" xfId="3" applyNumberFormat="1" applyFont="1" applyBorder="1" applyAlignment="1">
      <alignment horizontal="center" vertical="center" wrapText="1"/>
    </xf>
    <xf numFmtId="166" fontId="7" fillId="0" borderId="13" xfId="3" applyNumberFormat="1" applyFont="1" applyBorder="1" applyAlignment="1">
      <alignment horizontal="center" vertical="center" wrapText="1"/>
    </xf>
    <xf numFmtId="166" fontId="12" fillId="6" borderId="31" xfId="3" applyNumberFormat="1" applyFont="1" applyFill="1" applyBorder="1" applyAlignment="1">
      <alignment horizontal="center" vertical="center" wrapText="1"/>
    </xf>
    <xf numFmtId="166" fontId="12" fillId="6" borderId="15" xfId="3" applyNumberFormat="1" applyFont="1" applyFill="1" applyBorder="1" applyAlignment="1">
      <alignment horizontal="center" vertical="center" wrapText="1"/>
    </xf>
    <xf numFmtId="4" fontId="7" fillId="3" borderId="31" xfId="0" applyNumberFormat="1" applyFont="1" applyFill="1" applyBorder="1" applyAlignment="1">
      <alignment horizontal="center" vertical="center" wrapText="1"/>
    </xf>
    <xf numFmtId="4" fontId="7" fillId="3" borderId="15" xfId="0" applyNumberFormat="1" applyFont="1" applyFill="1" applyBorder="1" applyAlignment="1">
      <alignment horizontal="center" vertical="center" wrapText="1"/>
    </xf>
    <xf numFmtId="166" fontId="12" fillId="0" borderId="34" xfId="3" applyNumberFormat="1" applyFont="1" applyBorder="1" applyAlignment="1">
      <alignment horizontal="center" vertical="center" wrapText="1"/>
    </xf>
    <xf numFmtId="166" fontId="12" fillId="0" borderId="14" xfId="3" applyNumberFormat="1" applyFont="1" applyBorder="1" applyAlignment="1">
      <alignment horizontal="center" vertical="center" wrapText="1"/>
    </xf>
    <xf numFmtId="0" fontId="12" fillId="6" borderId="31"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15" xfId="0" applyFont="1" applyFill="1" applyBorder="1" applyAlignment="1">
      <alignment horizontal="center" vertical="center" wrapText="1"/>
    </xf>
    <xf numFmtId="166" fontId="12" fillId="6" borderId="47" xfId="3" applyNumberFormat="1" applyFont="1" applyFill="1" applyBorder="1" applyAlignment="1">
      <alignment horizontal="center" vertical="center" wrapText="1"/>
    </xf>
    <xf numFmtId="1" fontId="3" fillId="0" borderId="12" xfId="0" applyNumberFormat="1" applyFont="1" applyBorder="1" applyAlignment="1">
      <alignment horizontal="center" vertical="center"/>
    </xf>
    <xf numFmtId="166" fontId="10" fillId="0" borderId="14" xfId="3" applyNumberFormat="1" applyFont="1" applyBorder="1" applyAlignment="1">
      <alignment horizontal="center" vertical="center" wrapText="1"/>
    </xf>
    <xf numFmtId="166" fontId="10" fillId="0" borderId="31" xfId="3" quotePrefix="1" applyNumberFormat="1" applyFont="1" applyBorder="1" applyAlignment="1">
      <alignment horizontal="center" vertical="center" wrapText="1"/>
    </xf>
    <xf numFmtId="166" fontId="10" fillId="0" borderId="14" xfId="3" quotePrefix="1" applyNumberFormat="1" applyFont="1" applyBorder="1" applyAlignment="1">
      <alignment horizontal="center" vertical="center" wrapText="1"/>
    </xf>
    <xf numFmtId="166" fontId="10" fillId="0" borderId="15" xfId="3" quotePrefix="1" applyNumberFormat="1" applyFont="1" applyBorder="1" applyAlignment="1">
      <alignment horizontal="center" vertical="center" wrapText="1"/>
    </xf>
    <xf numFmtId="1" fontId="7" fillId="0" borderId="32" xfId="3" applyNumberFormat="1" applyFont="1" applyBorder="1" applyAlignment="1">
      <alignment horizontal="center" vertical="center" wrapText="1"/>
    </xf>
    <xf numFmtId="1" fontId="7" fillId="0" borderId="47" xfId="3" applyNumberFormat="1" applyFont="1" applyBorder="1" applyAlignment="1">
      <alignment horizontal="center" vertical="center" wrapText="1"/>
    </xf>
    <xf numFmtId="1" fontId="7" fillId="0" borderId="16" xfId="3" applyNumberFormat="1" applyFont="1" applyBorder="1" applyAlignment="1">
      <alignment horizontal="center" vertical="center" wrapText="1"/>
    </xf>
    <xf numFmtId="0" fontId="7" fillId="0" borderId="34" xfId="0" applyFont="1" applyBorder="1" applyAlignment="1">
      <alignment horizontal="center" vertical="center" wrapText="1"/>
    </xf>
    <xf numFmtId="4" fontId="7" fillId="0" borderId="14" xfId="0" applyNumberFormat="1" applyFont="1" applyBorder="1" applyAlignment="1">
      <alignment horizontal="center" vertical="center" wrapText="1"/>
    </xf>
    <xf numFmtId="3" fontId="7" fillId="0" borderId="47" xfId="0" quotePrefix="1" applyNumberFormat="1" applyFont="1" applyBorder="1" applyAlignment="1">
      <alignment horizontal="center" vertical="center" wrapText="1"/>
    </xf>
    <xf numFmtId="164" fontId="10" fillId="0" borderId="32" xfId="1" applyFont="1" applyFill="1" applyBorder="1" applyAlignment="1" applyProtection="1">
      <alignment horizontal="center" vertical="center" wrapText="1"/>
    </xf>
    <xf numFmtId="164" fontId="10" fillId="0" borderId="47" xfId="1" applyFont="1" applyFill="1" applyBorder="1" applyAlignment="1" applyProtection="1">
      <alignment horizontal="center" vertical="center" wrapText="1"/>
    </xf>
    <xf numFmtId="164" fontId="10" fillId="0" borderId="16" xfId="1" applyFont="1" applyFill="1" applyBorder="1" applyAlignment="1" applyProtection="1">
      <alignment horizontal="center" vertical="center" wrapText="1"/>
    </xf>
    <xf numFmtId="3" fontId="7" fillId="6" borderId="32" xfId="0" quotePrefix="1" applyNumberFormat="1" applyFont="1" applyFill="1" applyBorder="1" applyAlignment="1">
      <alignment horizontal="center" vertical="center" wrapText="1"/>
    </xf>
    <xf numFmtId="3" fontId="7" fillId="6" borderId="16" xfId="0" quotePrefix="1" applyNumberFormat="1" applyFont="1" applyFill="1" applyBorder="1" applyAlignment="1">
      <alignment horizontal="center" vertical="center" wrapText="1"/>
    </xf>
    <xf numFmtId="166" fontId="10" fillId="0" borderId="37" xfId="3" applyNumberFormat="1" applyFont="1" applyBorder="1" applyAlignment="1">
      <alignment horizontal="center" vertical="center" wrapText="1"/>
    </xf>
    <xf numFmtId="4" fontId="7" fillId="3" borderId="31" xfId="0" applyNumberFormat="1" applyFont="1" applyFill="1" applyBorder="1" applyAlignment="1">
      <alignment horizontal="center" vertical="center"/>
    </xf>
    <xf numFmtId="4" fontId="7" fillId="3" borderId="14" xfId="0" applyNumberFormat="1" applyFont="1" applyFill="1" applyBorder="1" applyAlignment="1">
      <alignment horizontal="center" vertical="center"/>
    </xf>
    <xf numFmtId="4" fontId="7" fillId="3" borderId="36" xfId="0" applyNumberFormat="1" applyFont="1" applyFill="1" applyBorder="1" applyAlignment="1">
      <alignment horizontal="center" vertical="center"/>
    </xf>
    <xf numFmtId="166" fontId="7" fillId="0" borderId="31" xfId="3" quotePrefix="1" applyNumberFormat="1" applyFont="1" applyBorder="1" applyAlignment="1">
      <alignment horizontal="left" vertical="center" wrapText="1"/>
    </xf>
    <xf numFmtId="166" fontId="7" fillId="0" borderId="14" xfId="3" applyNumberFormat="1" applyFont="1" applyBorder="1" applyAlignment="1">
      <alignment horizontal="left" vertical="center" wrapText="1"/>
    </xf>
    <xf numFmtId="166" fontId="7" fillId="0" borderId="15" xfId="3" applyNumberFormat="1" applyFont="1" applyBorder="1" applyAlignment="1">
      <alignment horizontal="left" vertical="center" wrapText="1"/>
    </xf>
    <xf numFmtId="0" fontId="7" fillId="0" borderId="8" xfId="0" applyFont="1" applyBorder="1" applyAlignment="1">
      <alignment horizontal="center" vertical="center" wrapText="1"/>
    </xf>
    <xf numFmtId="3" fontId="7" fillId="0" borderId="9" xfId="0" quotePrefix="1" applyNumberFormat="1" applyFont="1" applyBorder="1" applyAlignment="1">
      <alignment horizontal="center" vertical="center" wrapText="1"/>
    </xf>
    <xf numFmtId="0" fontId="7" fillId="0" borderId="7"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15" xfId="0" applyFont="1" applyFill="1" applyBorder="1" applyAlignment="1">
      <alignment horizontal="center" vertical="center" wrapText="1"/>
    </xf>
    <xf numFmtId="165" fontId="7" fillId="0" borderId="8" xfId="0" applyNumberFormat="1" applyFont="1" applyBorder="1" applyAlignment="1">
      <alignment horizontal="center" vertical="center" wrapText="1"/>
    </xf>
    <xf numFmtId="165" fontId="7" fillId="0" borderId="15"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16" xfId="0" applyFont="1" applyBorder="1" applyAlignment="1">
      <alignment horizontal="center" vertical="center" wrapText="1"/>
    </xf>
    <xf numFmtId="165" fontId="7" fillId="0" borderId="8" xfId="0" quotePrefix="1" applyNumberFormat="1" applyFont="1" applyBorder="1" applyAlignment="1">
      <alignment horizontal="center" vertical="center" wrapText="1"/>
    </xf>
    <xf numFmtId="164" fontId="2" fillId="2" borderId="2" xfId="1" applyFont="1" applyFill="1" applyBorder="1" applyAlignment="1">
      <alignment horizontal="center" vertical="center" wrapText="1"/>
    </xf>
    <xf numFmtId="164" fontId="2" fillId="2" borderId="3" xfId="1" applyFont="1" applyFill="1" applyBorder="1" applyAlignment="1">
      <alignment horizontal="center" vertical="center" wrapText="1"/>
    </xf>
    <xf numFmtId="0" fontId="4" fillId="0" borderId="4" xfId="0" applyFont="1" applyBorder="1" applyAlignment="1">
      <alignment horizontal="right"/>
    </xf>
    <xf numFmtId="0" fontId="4" fillId="0" borderId="5" xfId="0" applyFont="1" applyBorder="1" applyAlignment="1">
      <alignment horizontal="right"/>
    </xf>
    <xf numFmtId="0" fontId="4" fillId="3" borderId="4" xfId="0" applyFont="1" applyFill="1" applyBorder="1" applyAlignment="1">
      <alignment horizontal="left"/>
    </xf>
    <xf numFmtId="0" fontId="4" fillId="3" borderId="5" xfId="0" applyFont="1" applyFill="1" applyBorder="1" applyAlignment="1">
      <alignment horizontal="left"/>
    </xf>
    <xf numFmtId="0" fontId="3" fillId="4" borderId="6"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3" fillId="4" borderId="1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7" fillId="0" borderId="7" xfId="0" quotePrefix="1" applyFont="1" applyBorder="1" applyAlignment="1">
      <alignment horizontal="center" vertical="center" wrapText="1"/>
    </xf>
    <xf numFmtId="0" fontId="7" fillId="0" borderId="13" xfId="0" quotePrefix="1" applyFont="1" applyBorder="1" applyAlignment="1">
      <alignment horizontal="center" vertical="center" wrapText="1"/>
    </xf>
    <xf numFmtId="4" fontId="7" fillId="3" borderId="8" xfId="0" applyNumberFormat="1" applyFont="1" applyFill="1" applyBorder="1" applyAlignment="1">
      <alignment horizontal="center" vertical="center"/>
    </xf>
    <xf numFmtId="4" fontId="7" fillId="3" borderId="15" xfId="0" applyNumberFormat="1" applyFont="1" applyFill="1" applyBorder="1" applyAlignment="1">
      <alignment horizontal="center" vertical="center"/>
    </xf>
    <xf numFmtId="0" fontId="3" fillId="0" borderId="6" xfId="0" applyFont="1" applyBorder="1" applyAlignment="1">
      <alignment horizontal="center" vertical="center" wrapText="1"/>
    </xf>
    <xf numFmtId="0" fontId="3" fillId="0" borderId="33" xfId="0" applyFont="1" applyBorder="1" applyAlignment="1">
      <alignment horizontal="center" vertical="center" wrapText="1"/>
    </xf>
    <xf numFmtId="165" fontId="3" fillId="0" borderId="7" xfId="0" quotePrefix="1" applyNumberFormat="1" applyFont="1" applyBorder="1" applyAlignment="1">
      <alignment horizontal="center" vertical="center" wrapText="1"/>
    </xf>
    <xf numFmtId="165" fontId="3" fillId="0" borderId="8" xfId="0" applyNumberFormat="1" applyFont="1" applyBorder="1" applyAlignment="1">
      <alignment horizontal="center" vertical="center" wrapText="1"/>
    </xf>
    <xf numFmtId="165" fontId="3" fillId="0" borderId="1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cellXfs>
  <cellStyles count="6">
    <cellStyle name="Hipervínculo" xfId="4" builtinId="8"/>
    <cellStyle name="Millares" xfId="1" builtinId="3"/>
    <cellStyle name="Normal" xfId="0" builtinId="0"/>
    <cellStyle name="Normal_backlog" xfId="5" xr:uid="{B0C59E6D-33EE-488C-8F69-06175A7BDB76}"/>
    <cellStyle name="Normal_FORMATO" xfId="3" xr:uid="{00000000-0005-0000-0000-000003000000}"/>
    <cellStyle name="Porcentaje" xfId="2" builtinId="5"/>
  </cellStyles>
  <dxfs count="4">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3</xdr:col>
      <xdr:colOff>1167027</xdr:colOff>
      <xdr:row>0</xdr:row>
      <xdr:rowOff>58026</xdr:rowOff>
    </xdr:from>
    <xdr:ext cx="1054754" cy="652090"/>
    <xdr:pic>
      <xdr:nvPicPr>
        <xdr:cNvPr id="3" name="Imagen 2" descr="LOGO BOUBY">
          <a:extLst>
            <a:ext uri="{FF2B5EF4-FFF2-40B4-BE49-F238E27FC236}">
              <a16:creationId xmlns:a16="http://schemas.microsoft.com/office/drawing/2014/main" id="{25915BA4-9F95-4B83-80B7-D9F3A34AB7E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19473" y="58026"/>
          <a:ext cx="1054754" cy="65209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1021080</xdr:colOff>
      <xdr:row>0</xdr:row>
      <xdr:rowOff>38100</xdr:rowOff>
    </xdr:from>
    <xdr:ext cx="1054754" cy="652090"/>
    <xdr:pic>
      <xdr:nvPicPr>
        <xdr:cNvPr id="3" name="Imagen 2" descr="LOGO BOUBY">
          <a:extLst>
            <a:ext uri="{FF2B5EF4-FFF2-40B4-BE49-F238E27FC236}">
              <a16:creationId xmlns:a16="http://schemas.microsoft.com/office/drawing/2014/main" id="{7FF69C86-6A05-4A39-8E4F-CCC69263108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157460" y="38100"/>
          <a:ext cx="1054754" cy="65209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5</xdr:col>
      <xdr:colOff>457200</xdr:colOff>
      <xdr:row>0</xdr:row>
      <xdr:rowOff>45720</xdr:rowOff>
    </xdr:from>
    <xdr:ext cx="1054754" cy="652090"/>
    <xdr:pic>
      <xdr:nvPicPr>
        <xdr:cNvPr id="2" name="Imagen 1" descr="LOGO BOUBY">
          <a:extLst>
            <a:ext uri="{FF2B5EF4-FFF2-40B4-BE49-F238E27FC236}">
              <a16:creationId xmlns:a16="http://schemas.microsoft.com/office/drawing/2014/main" id="{FF7E29AC-F3B6-4F93-9BBB-5DAAF915080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862060" y="45720"/>
          <a:ext cx="1054754" cy="652090"/>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5</xdr:col>
      <xdr:colOff>457200</xdr:colOff>
      <xdr:row>0</xdr:row>
      <xdr:rowOff>45720</xdr:rowOff>
    </xdr:from>
    <xdr:ext cx="1054754" cy="652090"/>
    <xdr:pic>
      <xdr:nvPicPr>
        <xdr:cNvPr id="2" name="Imagen 1" descr="LOGO BOUBY">
          <a:extLst>
            <a:ext uri="{FF2B5EF4-FFF2-40B4-BE49-F238E27FC236}">
              <a16:creationId xmlns:a16="http://schemas.microsoft.com/office/drawing/2014/main" id="{5767898D-4664-4819-B726-9432CFBB47E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862060" y="45720"/>
          <a:ext cx="1054754" cy="652090"/>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5</xdr:col>
      <xdr:colOff>358140</xdr:colOff>
      <xdr:row>0</xdr:row>
      <xdr:rowOff>38100</xdr:rowOff>
    </xdr:from>
    <xdr:ext cx="1054754" cy="652090"/>
    <xdr:pic>
      <xdr:nvPicPr>
        <xdr:cNvPr id="2" name="Imagen 1" descr="LOGO BOUBY">
          <a:extLst>
            <a:ext uri="{FF2B5EF4-FFF2-40B4-BE49-F238E27FC236}">
              <a16:creationId xmlns:a16="http://schemas.microsoft.com/office/drawing/2014/main" id="{69CA8CA7-C691-4C50-BA0B-C301E50913D6}"/>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694420" y="38100"/>
          <a:ext cx="1054754" cy="652090"/>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138545</xdr:colOff>
      <xdr:row>1</xdr:row>
      <xdr:rowOff>111699</xdr:rowOff>
    </xdr:from>
    <xdr:ext cx="2008910" cy="1241985"/>
    <xdr:pic>
      <xdr:nvPicPr>
        <xdr:cNvPr id="2" name="Imagen 1" descr="LOGO BOUBY">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4820" y="197424"/>
          <a:ext cx="2008910" cy="1241985"/>
        </a:xfrm>
        <a:prstGeom prst="rect">
          <a:avLst/>
        </a:prstGeom>
        <a:noFill/>
        <a:ln>
          <a:noFill/>
        </a:ln>
      </xdr:spPr>
    </xdr:pic>
    <xdr:clientData/>
  </xdr:oneCellAnchor>
  <xdr:twoCellAnchor editAs="oneCell">
    <xdr:from>
      <xdr:col>4</xdr:col>
      <xdr:colOff>0</xdr:colOff>
      <xdr:row>228</xdr:row>
      <xdr:rowOff>0</xdr:rowOff>
    </xdr:from>
    <xdr:to>
      <xdr:col>4</xdr:col>
      <xdr:colOff>304800</xdr:colOff>
      <xdr:row>229</xdr:row>
      <xdr:rowOff>142876</xdr:rowOff>
    </xdr:to>
    <xdr:sp macro="" textlink="">
      <xdr:nvSpPr>
        <xdr:cNvPr id="1182" name="AutoShape 158">
          <a:extLst>
            <a:ext uri="{FF2B5EF4-FFF2-40B4-BE49-F238E27FC236}">
              <a16:creationId xmlns:a16="http://schemas.microsoft.com/office/drawing/2014/main" id="{00000000-0008-0000-0100-00009E040000}"/>
            </a:ext>
          </a:extLst>
        </xdr:cNvPr>
        <xdr:cNvSpPr>
          <a:spLocks noChangeAspect="1" noChangeArrowheads="1"/>
        </xdr:cNvSpPr>
      </xdr:nvSpPr>
      <xdr:spPr bwMode="auto">
        <a:xfrm>
          <a:off x="2114550" y="29213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ulio/Downloads/Experiencia%20General%20Dremcco%20SA%20(3).xls" TargetMode="External"/><Relationship Id="rId1" Type="http://schemas.openxmlformats.org/officeDocument/2006/relationships/externalLinkPath" Target="file:///C:/Users/julio/Downloads/Experiencia%20General%20Dremcco%20SA%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en"/>
      <sheetName val="Carreteras"/>
      <sheetName val="Ambientales"/>
      <sheetName val="Puentes y Túneles"/>
      <sheetName val="Irrigación"/>
      <sheetName val="Edificación"/>
      <sheetName val="Topografia y Suelos"/>
      <sheetName val="Supervisión Carreteras"/>
      <sheetName val="Supervisión Edificaciones"/>
    </sheetNames>
    <sheetDataSet>
      <sheetData sheetId="0" refreshError="1"/>
      <sheetData sheetId="1">
        <row r="69">
          <cell r="K69">
            <v>35829695.640459999</v>
          </cell>
        </row>
      </sheetData>
      <sheetData sheetId="2">
        <row r="7">
          <cell r="O7">
            <v>28692.86</v>
          </cell>
        </row>
      </sheetData>
      <sheetData sheetId="3" refreshError="1"/>
      <sheetData sheetId="4">
        <row r="13">
          <cell r="K13">
            <v>221750</v>
          </cell>
        </row>
      </sheetData>
      <sheetData sheetId="5">
        <row r="16">
          <cell r="K16">
            <v>32789</v>
          </cell>
        </row>
      </sheetData>
      <sheetData sheetId="6">
        <row r="26">
          <cell r="K26">
            <v>60000</v>
          </cell>
          <cell r="P26">
            <v>60000</v>
          </cell>
        </row>
      </sheetData>
      <sheetData sheetId="7">
        <row r="14">
          <cell r="K14">
            <v>1239389.5900000001</v>
          </cell>
          <cell r="P14">
            <v>785934.86</v>
          </cell>
        </row>
      </sheetData>
      <sheetData sheetId="8">
        <row r="14">
          <cell r="K14">
            <v>677982.34</v>
          </cell>
          <cell r="P14">
            <v>309891.17</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7" Type="http://schemas.openxmlformats.org/officeDocument/2006/relationships/comments" Target="../comments1.xml"/><Relationship Id="rId2" Type="http://schemas.openxmlformats.org/officeDocument/2006/relationships/hyperlink" Target="mailto:bryners.sarmiento@minsur.com" TargetMode="External"/><Relationship Id="rId1" Type="http://schemas.openxmlformats.org/officeDocument/2006/relationships/hyperlink" Target="mailto:miguel.nunez@raura.com.pe"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72303-C555-455C-90CA-7270BD30BA5D}">
  <dimension ref="B1:R11"/>
  <sheetViews>
    <sheetView showGridLines="0" view="pageBreakPreview" zoomScale="130" zoomScaleNormal="100" zoomScaleSheetLayoutView="130" workbookViewId="0">
      <selection activeCell="C9" sqref="C9"/>
    </sheetView>
  </sheetViews>
  <sheetFormatPr baseColWidth="10" defaultColWidth="11.5" defaultRowHeight="13" x14ac:dyDescent="0.15"/>
  <cols>
    <col min="1" max="1" width="2" style="246" customWidth="1"/>
    <col min="2" max="2" width="5.5" style="246" customWidth="1"/>
    <col min="3" max="3" width="42.83203125" style="246" customWidth="1"/>
    <col min="4" max="4" width="33" style="246" customWidth="1"/>
    <col min="5" max="5" width="26.1640625" style="246" hidden="1" customWidth="1"/>
    <col min="6" max="6" width="33.5" style="246" customWidth="1"/>
    <col min="7" max="7" width="20.5" style="246" customWidth="1"/>
    <col min="8" max="10" width="16.5" style="246" customWidth="1"/>
    <col min="11" max="11" width="14.33203125" style="246" customWidth="1"/>
    <col min="12" max="12" width="24" style="246" customWidth="1"/>
    <col min="13" max="13" width="12.83203125" style="246" customWidth="1"/>
    <col min="14" max="14" width="10.5" style="246" hidden="1" customWidth="1"/>
    <col min="15" max="15" width="5" style="246" hidden="1" customWidth="1"/>
    <col min="16" max="16" width="13.83203125" style="259" bestFit="1" customWidth="1"/>
    <col min="17" max="17" width="13" style="246" customWidth="1"/>
    <col min="18" max="18" width="18.33203125" style="246" customWidth="1"/>
    <col min="19" max="256" width="11.5" style="246"/>
    <col min="257" max="257" width="2" style="246" customWidth="1"/>
    <col min="258" max="258" width="5.5" style="246" customWidth="1"/>
    <col min="259" max="259" width="42.83203125" style="246" customWidth="1"/>
    <col min="260" max="260" width="33" style="246" customWidth="1"/>
    <col min="261" max="261" width="0" style="246" hidden="1" customWidth="1"/>
    <col min="262" max="262" width="33.5" style="246" customWidth="1"/>
    <col min="263" max="263" width="20.5" style="246" customWidth="1"/>
    <col min="264" max="266" width="16.5" style="246" customWidth="1"/>
    <col min="267" max="267" width="14.33203125" style="246" customWidth="1"/>
    <col min="268" max="268" width="24" style="246" customWidth="1"/>
    <col min="269" max="269" width="12.83203125" style="246" customWidth="1"/>
    <col min="270" max="271" width="0" style="246" hidden="1" customWidth="1"/>
    <col min="272" max="272" width="13.83203125" style="246" bestFit="1" customWidth="1"/>
    <col min="273" max="273" width="13" style="246" customWidth="1"/>
    <col min="274" max="274" width="18.33203125" style="246" customWidth="1"/>
    <col min="275" max="512" width="11.5" style="246"/>
    <col min="513" max="513" width="2" style="246" customWidth="1"/>
    <col min="514" max="514" width="5.5" style="246" customWidth="1"/>
    <col min="515" max="515" width="42.83203125" style="246" customWidth="1"/>
    <col min="516" max="516" width="33" style="246" customWidth="1"/>
    <col min="517" max="517" width="0" style="246" hidden="1" customWidth="1"/>
    <col min="518" max="518" width="33.5" style="246" customWidth="1"/>
    <col min="519" max="519" width="20.5" style="246" customWidth="1"/>
    <col min="520" max="522" width="16.5" style="246" customWidth="1"/>
    <col min="523" max="523" width="14.33203125" style="246" customWidth="1"/>
    <col min="524" max="524" width="24" style="246" customWidth="1"/>
    <col min="525" max="525" width="12.83203125" style="246" customWidth="1"/>
    <col min="526" max="527" width="0" style="246" hidden="1" customWidth="1"/>
    <col min="528" max="528" width="13.83203125" style="246" bestFit="1" customWidth="1"/>
    <col min="529" max="529" width="13" style="246" customWidth="1"/>
    <col min="530" max="530" width="18.33203125" style="246" customWidth="1"/>
    <col min="531" max="768" width="11.5" style="246"/>
    <col min="769" max="769" width="2" style="246" customWidth="1"/>
    <col min="770" max="770" width="5.5" style="246" customWidth="1"/>
    <col min="771" max="771" width="42.83203125" style="246" customWidth="1"/>
    <col min="772" max="772" width="33" style="246" customWidth="1"/>
    <col min="773" max="773" width="0" style="246" hidden="1" customWidth="1"/>
    <col min="774" max="774" width="33.5" style="246" customWidth="1"/>
    <col min="775" max="775" width="20.5" style="246" customWidth="1"/>
    <col min="776" max="778" width="16.5" style="246" customWidth="1"/>
    <col min="779" max="779" width="14.33203125" style="246" customWidth="1"/>
    <col min="780" max="780" width="24" style="246" customWidth="1"/>
    <col min="781" max="781" width="12.83203125" style="246" customWidth="1"/>
    <col min="782" max="783" width="0" style="246" hidden="1" customWidth="1"/>
    <col min="784" max="784" width="13.83203125" style="246" bestFit="1" customWidth="1"/>
    <col min="785" max="785" width="13" style="246" customWidth="1"/>
    <col min="786" max="786" width="18.33203125" style="246" customWidth="1"/>
    <col min="787" max="1024" width="11.5" style="246"/>
    <col min="1025" max="1025" width="2" style="246" customWidth="1"/>
    <col min="1026" max="1026" width="5.5" style="246" customWidth="1"/>
    <col min="1027" max="1027" width="42.83203125" style="246" customWidth="1"/>
    <col min="1028" max="1028" width="33" style="246" customWidth="1"/>
    <col min="1029" max="1029" width="0" style="246" hidden="1" customWidth="1"/>
    <col min="1030" max="1030" width="33.5" style="246" customWidth="1"/>
    <col min="1031" max="1031" width="20.5" style="246" customWidth="1"/>
    <col min="1032" max="1034" width="16.5" style="246" customWidth="1"/>
    <col min="1035" max="1035" width="14.33203125" style="246" customWidth="1"/>
    <col min="1036" max="1036" width="24" style="246" customWidth="1"/>
    <col min="1037" max="1037" width="12.83203125" style="246" customWidth="1"/>
    <col min="1038" max="1039" width="0" style="246" hidden="1" customWidth="1"/>
    <col min="1040" max="1040" width="13.83203125" style="246" bestFit="1" customWidth="1"/>
    <col min="1041" max="1041" width="13" style="246" customWidth="1"/>
    <col min="1042" max="1042" width="18.33203125" style="246" customWidth="1"/>
    <col min="1043" max="1280" width="11.5" style="246"/>
    <col min="1281" max="1281" width="2" style="246" customWidth="1"/>
    <col min="1282" max="1282" width="5.5" style="246" customWidth="1"/>
    <col min="1283" max="1283" width="42.83203125" style="246" customWidth="1"/>
    <col min="1284" max="1284" width="33" style="246" customWidth="1"/>
    <col min="1285" max="1285" width="0" style="246" hidden="1" customWidth="1"/>
    <col min="1286" max="1286" width="33.5" style="246" customWidth="1"/>
    <col min="1287" max="1287" width="20.5" style="246" customWidth="1"/>
    <col min="1288" max="1290" width="16.5" style="246" customWidth="1"/>
    <col min="1291" max="1291" width="14.33203125" style="246" customWidth="1"/>
    <col min="1292" max="1292" width="24" style="246" customWidth="1"/>
    <col min="1293" max="1293" width="12.83203125" style="246" customWidth="1"/>
    <col min="1294" max="1295" width="0" style="246" hidden="1" customWidth="1"/>
    <col min="1296" max="1296" width="13.83203125" style="246" bestFit="1" customWidth="1"/>
    <col min="1297" max="1297" width="13" style="246" customWidth="1"/>
    <col min="1298" max="1298" width="18.33203125" style="246" customWidth="1"/>
    <col min="1299" max="1536" width="11.5" style="246"/>
    <col min="1537" max="1537" width="2" style="246" customWidth="1"/>
    <col min="1538" max="1538" width="5.5" style="246" customWidth="1"/>
    <col min="1539" max="1539" width="42.83203125" style="246" customWidth="1"/>
    <col min="1540" max="1540" width="33" style="246" customWidth="1"/>
    <col min="1541" max="1541" width="0" style="246" hidden="1" customWidth="1"/>
    <col min="1542" max="1542" width="33.5" style="246" customWidth="1"/>
    <col min="1543" max="1543" width="20.5" style="246" customWidth="1"/>
    <col min="1544" max="1546" width="16.5" style="246" customWidth="1"/>
    <col min="1547" max="1547" width="14.33203125" style="246" customWidth="1"/>
    <col min="1548" max="1548" width="24" style="246" customWidth="1"/>
    <col min="1549" max="1549" width="12.83203125" style="246" customWidth="1"/>
    <col min="1550" max="1551" width="0" style="246" hidden="1" customWidth="1"/>
    <col min="1552" max="1552" width="13.83203125" style="246" bestFit="1" customWidth="1"/>
    <col min="1553" max="1553" width="13" style="246" customWidth="1"/>
    <col min="1554" max="1554" width="18.33203125" style="246" customWidth="1"/>
    <col min="1555" max="1792" width="11.5" style="246"/>
    <col min="1793" max="1793" width="2" style="246" customWidth="1"/>
    <col min="1794" max="1794" width="5.5" style="246" customWidth="1"/>
    <col min="1795" max="1795" width="42.83203125" style="246" customWidth="1"/>
    <col min="1796" max="1796" width="33" style="246" customWidth="1"/>
    <col min="1797" max="1797" width="0" style="246" hidden="1" customWidth="1"/>
    <col min="1798" max="1798" width="33.5" style="246" customWidth="1"/>
    <col min="1799" max="1799" width="20.5" style="246" customWidth="1"/>
    <col min="1800" max="1802" width="16.5" style="246" customWidth="1"/>
    <col min="1803" max="1803" width="14.33203125" style="246" customWidth="1"/>
    <col min="1804" max="1804" width="24" style="246" customWidth="1"/>
    <col min="1805" max="1805" width="12.83203125" style="246" customWidth="1"/>
    <col min="1806" max="1807" width="0" style="246" hidden="1" customWidth="1"/>
    <col min="1808" max="1808" width="13.83203125" style="246" bestFit="1" customWidth="1"/>
    <col min="1809" max="1809" width="13" style="246" customWidth="1"/>
    <col min="1810" max="1810" width="18.33203125" style="246" customWidth="1"/>
    <col min="1811" max="2048" width="11.5" style="246"/>
    <col min="2049" max="2049" width="2" style="246" customWidth="1"/>
    <col min="2050" max="2050" width="5.5" style="246" customWidth="1"/>
    <col min="2051" max="2051" width="42.83203125" style="246" customWidth="1"/>
    <col min="2052" max="2052" width="33" style="246" customWidth="1"/>
    <col min="2053" max="2053" width="0" style="246" hidden="1" customWidth="1"/>
    <col min="2054" max="2054" width="33.5" style="246" customWidth="1"/>
    <col min="2055" max="2055" width="20.5" style="246" customWidth="1"/>
    <col min="2056" max="2058" width="16.5" style="246" customWidth="1"/>
    <col min="2059" max="2059" width="14.33203125" style="246" customWidth="1"/>
    <col min="2060" max="2060" width="24" style="246" customWidth="1"/>
    <col min="2061" max="2061" width="12.83203125" style="246" customWidth="1"/>
    <col min="2062" max="2063" width="0" style="246" hidden="1" customWidth="1"/>
    <col min="2064" max="2064" width="13.83203125" style="246" bestFit="1" customWidth="1"/>
    <col min="2065" max="2065" width="13" style="246" customWidth="1"/>
    <col min="2066" max="2066" width="18.33203125" style="246" customWidth="1"/>
    <col min="2067" max="2304" width="11.5" style="246"/>
    <col min="2305" max="2305" width="2" style="246" customWidth="1"/>
    <col min="2306" max="2306" width="5.5" style="246" customWidth="1"/>
    <col min="2307" max="2307" width="42.83203125" style="246" customWidth="1"/>
    <col min="2308" max="2308" width="33" style="246" customWidth="1"/>
    <col min="2309" max="2309" width="0" style="246" hidden="1" customWidth="1"/>
    <col min="2310" max="2310" width="33.5" style="246" customWidth="1"/>
    <col min="2311" max="2311" width="20.5" style="246" customWidth="1"/>
    <col min="2312" max="2314" width="16.5" style="246" customWidth="1"/>
    <col min="2315" max="2315" width="14.33203125" style="246" customWidth="1"/>
    <col min="2316" max="2316" width="24" style="246" customWidth="1"/>
    <col min="2317" max="2317" width="12.83203125" style="246" customWidth="1"/>
    <col min="2318" max="2319" width="0" style="246" hidden="1" customWidth="1"/>
    <col min="2320" max="2320" width="13.83203125" style="246" bestFit="1" customWidth="1"/>
    <col min="2321" max="2321" width="13" style="246" customWidth="1"/>
    <col min="2322" max="2322" width="18.33203125" style="246" customWidth="1"/>
    <col min="2323" max="2560" width="11.5" style="246"/>
    <col min="2561" max="2561" width="2" style="246" customWidth="1"/>
    <col min="2562" max="2562" width="5.5" style="246" customWidth="1"/>
    <col min="2563" max="2563" width="42.83203125" style="246" customWidth="1"/>
    <col min="2564" max="2564" width="33" style="246" customWidth="1"/>
    <col min="2565" max="2565" width="0" style="246" hidden="1" customWidth="1"/>
    <col min="2566" max="2566" width="33.5" style="246" customWidth="1"/>
    <col min="2567" max="2567" width="20.5" style="246" customWidth="1"/>
    <col min="2568" max="2570" width="16.5" style="246" customWidth="1"/>
    <col min="2571" max="2571" width="14.33203125" style="246" customWidth="1"/>
    <col min="2572" max="2572" width="24" style="246" customWidth="1"/>
    <col min="2573" max="2573" width="12.83203125" style="246" customWidth="1"/>
    <col min="2574" max="2575" width="0" style="246" hidden="1" customWidth="1"/>
    <col min="2576" max="2576" width="13.83203125" style="246" bestFit="1" customWidth="1"/>
    <col min="2577" max="2577" width="13" style="246" customWidth="1"/>
    <col min="2578" max="2578" width="18.33203125" style="246" customWidth="1"/>
    <col min="2579" max="2816" width="11.5" style="246"/>
    <col min="2817" max="2817" width="2" style="246" customWidth="1"/>
    <col min="2818" max="2818" width="5.5" style="246" customWidth="1"/>
    <col min="2819" max="2819" width="42.83203125" style="246" customWidth="1"/>
    <col min="2820" max="2820" width="33" style="246" customWidth="1"/>
    <col min="2821" max="2821" width="0" style="246" hidden="1" customWidth="1"/>
    <col min="2822" max="2822" width="33.5" style="246" customWidth="1"/>
    <col min="2823" max="2823" width="20.5" style="246" customWidth="1"/>
    <col min="2824" max="2826" width="16.5" style="246" customWidth="1"/>
    <col min="2827" max="2827" width="14.33203125" style="246" customWidth="1"/>
    <col min="2828" max="2828" width="24" style="246" customWidth="1"/>
    <col min="2829" max="2829" width="12.83203125" style="246" customWidth="1"/>
    <col min="2830" max="2831" width="0" style="246" hidden="1" customWidth="1"/>
    <col min="2832" max="2832" width="13.83203125" style="246" bestFit="1" customWidth="1"/>
    <col min="2833" max="2833" width="13" style="246" customWidth="1"/>
    <col min="2834" max="2834" width="18.33203125" style="246" customWidth="1"/>
    <col min="2835" max="3072" width="11.5" style="246"/>
    <col min="3073" max="3073" width="2" style="246" customWidth="1"/>
    <col min="3074" max="3074" width="5.5" style="246" customWidth="1"/>
    <col min="3075" max="3075" width="42.83203125" style="246" customWidth="1"/>
    <col min="3076" max="3076" width="33" style="246" customWidth="1"/>
    <col min="3077" max="3077" width="0" style="246" hidden="1" customWidth="1"/>
    <col min="3078" max="3078" width="33.5" style="246" customWidth="1"/>
    <col min="3079" max="3079" width="20.5" style="246" customWidth="1"/>
    <col min="3080" max="3082" width="16.5" style="246" customWidth="1"/>
    <col min="3083" max="3083" width="14.33203125" style="246" customWidth="1"/>
    <col min="3084" max="3084" width="24" style="246" customWidth="1"/>
    <col min="3085" max="3085" width="12.83203125" style="246" customWidth="1"/>
    <col min="3086" max="3087" width="0" style="246" hidden="1" customWidth="1"/>
    <col min="3088" max="3088" width="13.83203125" style="246" bestFit="1" customWidth="1"/>
    <col min="3089" max="3089" width="13" style="246" customWidth="1"/>
    <col min="3090" max="3090" width="18.33203125" style="246" customWidth="1"/>
    <col min="3091" max="3328" width="11.5" style="246"/>
    <col min="3329" max="3329" width="2" style="246" customWidth="1"/>
    <col min="3330" max="3330" width="5.5" style="246" customWidth="1"/>
    <col min="3331" max="3331" width="42.83203125" style="246" customWidth="1"/>
    <col min="3332" max="3332" width="33" style="246" customWidth="1"/>
    <col min="3333" max="3333" width="0" style="246" hidden="1" customWidth="1"/>
    <col min="3334" max="3334" width="33.5" style="246" customWidth="1"/>
    <col min="3335" max="3335" width="20.5" style="246" customWidth="1"/>
    <col min="3336" max="3338" width="16.5" style="246" customWidth="1"/>
    <col min="3339" max="3339" width="14.33203125" style="246" customWidth="1"/>
    <col min="3340" max="3340" width="24" style="246" customWidth="1"/>
    <col min="3341" max="3341" width="12.83203125" style="246" customWidth="1"/>
    <col min="3342" max="3343" width="0" style="246" hidden="1" customWidth="1"/>
    <col min="3344" max="3344" width="13.83203125" style="246" bestFit="1" customWidth="1"/>
    <col min="3345" max="3345" width="13" style="246" customWidth="1"/>
    <col min="3346" max="3346" width="18.33203125" style="246" customWidth="1"/>
    <col min="3347" max="3584" width="11.5" style="246"/>
    <col min="3585" max="3585" width="2" style="246" customWidth="1"/>
    <col min="3586" max="3586" width="5.5" style="246" customWidth="1"/>
    <col min="3587" max="3587" width="42.83203125" style="246" customWidth="1"/>
    <col min="3588" max="3588" width="33" style="246" customWidth="1"/>
    <col min="3589" max="3589" width="0" style="246" hidden="1" customWidth="1"/>
    <col min="3590" max="3590" width="33.5" style="246" customWidth="1"/>
    <col min="3591" max="3591" width="20.5" style="246" customWidth="1"/>
    <col min="3592" max="3594" width="16.5" style="246" customWidth="1"/>
    <col min="3595" max="3595" width="14.33203125" style="246" customWidth="1"/>
    <col min="3596" max="3596" width="24" style="246" customWidth="1"/>
    <col min="3597" max="3597" width="12.83203125" style="246" customWidth="1"/>
    <col min="3598" max="3599" width="0" style="246" hidden="1" customWidth="1"/>
    <col min="3600" max="3600" width="13.83203125" style="246" bestFit="1" customWidth="1"/>
    <col min="3601" max="3601" width="13" style="246" customWidth="1"/>
    <col min="3602" max="3602" width="18.33203125" style="246" customWidth="1"/>
    <col min="3603" max="3840" width="11.5" style="246"/>
    <col min="3841" max="3841" width="2" style="246" customWidth="1"/>
    <col min="3842" max="3842" width="5.5" style="246" customWidth="1"/>
    <col min="3843" max="3843" width="42.83203125" style="246" customWidth="1"/>
    <col min="3844" max="3844" width="33" style="246" customWidth="1"/>
    <col min="3845" max="3845" width="0" style="246" hidden="1" customWidth="1"/>
    <col min="3846" max="3846" width="33.5" style="246" customWidth="1"/>
    <col min="3847" max="3847" width="20.5" style="246" customWidth="1"/>
    <col min="3848" max="3850" width="16.5" style="246" customWidth="1"/>
    <col min="3851" max="3851" width="14.33203125" style="246" customWidth="1"/>
    <col min="3852" max="3852" width="24" style="246" customWidth="1"/>
    <col min="3853" max="3853" width="12.83203125" style="246" customWidth="1"/>
    <col min="3854" max="3855" width="0" style="246" hidden="1" customWidth="1"/>
    <col min="3856" max="3856" width="13.83203125" style="246" bestFit="1" customWidth="1"/>
    <col min="3857" max="3857" width="13" style="246" customWidth="1"/>
    <col min="3858" max="3858" width="18.33203125" style="246" customWidth="1"/>
    <col min="3859" max="4096" width="11.5" style="246"/>
    <col min="4097" max="4097" width="2" style="246" customWidth="1"/>
    <col min="4098" max="4098" width="5.5" style="246" customWidth="1"/>
    <col min="4099" max="4099" width="42.83203125" style="246" customWidth="1"/>
    <col min="4100" max="4100" width="33" style="246" customWidth="1"/>
    <col min="4101" max="4101" width="0" style="246" hidden="1" customWidth="1"/>
    <col min="4102" max="4102" width="33.5" style="246" customWidth="1"/>
    <col min="4103" max="4103" width="20.5" style="246" customWidth="1"/>
    <col min="4104" max="4106" width="16.5" style="246" customWidth="1"/>
    <col min="4107" max="4107" width="14.33203125" style="246" customWidth="1"/>
    <col min="4108" max="4108" width="24" style="246" customWidth="1"/>
    <col min="4109" max="4109" width="12.83203125" style="246" customWidth="1"/>
    <col min="4110" max="4111" width="0" style="246" hidden="1" customWidth="1"/>
    <col min="4112" max="4112" width="13.83203125" style="246" bestFit="1" customWidth="1"/>
    <col min="4113" max="4113" width="13" style="246" customWidth="1"/>
    <col min="4114" max="4114" width="18.33203125" style="246" customWidth="1"/>
    <col min="4115" max="4352" width="11.5" style="246"/>
    <col min="4353" max="4353" width="2" style="246" customWidth="1"/>
    <col min="4354" max="4354" width="5.5" style="246" customWidth="1"/>
    <col min="4355" max="4355" width="42.83203125" style="246" customWidth="1"/>
    <col min="4356" max="4356" width="33" style="246" customWidth="1"/>
    <col min="4357" max="4357" width="0" style="246" hidden="1" customWidth="1"/>
    <col min="4358" max="4358" width="33.5" style="246" customWidth="1"/>
    <col min="4359" max="4359" width="20.5" style="246" customWidth="1"/>
    <col min="4360" max="4362" width="16.5" style="246" customWidth="1"/>
    <col min="4363" max="4363" width="14.33203125" style="246" customWidth="1"/>
    <col min="4364" max="4364" width="24" style="246" customWidth="1"/>
    <col min="4365" max="4365" width="12.83203125" style="246" customWidth="1"/>
    <col min="4366" max="4367" width="0" style="246" hidden="1" customWidth="1"/>
    <col min="4368" max="4368" width="13.83203125" style="246" bestFit="1" customWidth="1"/>
    <col min="4369" max="4369" width="13" style="246" customWidth="1"/>
    <col min="4370" max="4370" width="18.33203125" style="246" customWidth="1"/>
    <col min="4371" max="4608" width="11.5" style="246"/>
    <col min="4609" max="4609" width="2" style="246" customWidth="1"/>
    <col min="4610" max="4610" width="5.5" style="246" customWidth="1"/>
    <col min="4611" max="4611" width="42.83203125" style="246" customWidth="1"/>
    <col min="4612" max="4612" width="33" style="246" customWidth="1"/>
    <col min="4613" max="4613" width="0" style="246" hidden="1" customWidth="1"/>
    <col min="4614" max="4614" width="33.5" style="246" customWidth="1"/>
    <col min="4615" max="4615" width="20.5" style="246" customWidth="1"/>
    <col min="4616" max="4618" width="16.5" style="246" customWidth="1"/>
    <col min="4619" max="4619" width="14.33203125" style="246" customWidth="1"/>
    <col min="4620" max="4620" width="24" style="246" customWidth="1"/>
    <col min="4621" max="4621" width="12.83203125" style="246" customWidth="1"/>
    <col min="4622" max="4623" width="0" style="246" hidden="1" customWidth="1"/>
    <col min="4624" max="4624" width="13.83203125" style="246" bestFit="1" customWidth="1"/>
    <col min="4625" max="4625" width="13" style="246" customWidth="1"/>
    <col min="4626" max="4626" width="18.33203125" style="246" customWidth="1"/>
    <col min="4627" max="4864" width="11.5" style="246"/>
    <col min="4865" max="4865" width="2" style="246" customWidth="1"/>
    <col min="4866" max="4866" width="5.5" style="246" customWidth="1"/>
    <col min="4867" max="4867" width="42.83203125" style="246" customWidth="1"/>
    <col min="4868" max="4868" width="33" style="246" customWidth="1"/>
    <col min="4869" max="4869" width="0" style="246" hidden="1" customWidth="1"/>
    <col min="4870" max="4870" width="33.5" style="246" customWidth="1"/>
    <col min="4871" max="4871" width="20.5" style="246" customWidth="1"/>
    <col min="4872" max="4874" width="16.5" style="246" customWidth="1"/>
    <col min="4875" max="4875" width="14.33203125" style="246" customWidth="1"/>
    <col min="4876" max="4876" width="24" style="246" customWidth="1"/>
    <col min="4877" max="4877" width="12.83203125" style="246" customWidth="1"/>
    <col min="4878" max="4879" width="0" style="246" hidden="1" customWidth="1"/>
    <col min="4880" max="4880" width="13.83203125" style="246" bestFit="1" customWidth="1"/>
    <col min="4881" max="4881" width="13" style="246" customWidth="1"/>
    <col min="4882" max="4882" width="18.33203125" style="246" customWidth="1"/>
    <col min="4883" max="5120" width="11.5" style="246"/>
    <col min="5121" max="5121" width="2" style="246" customWidth="1"/>
    <col min="5122" max="5122" width="5.5" style="246" customWidth="1"/>
    <col min="5123" max="5123" width="42.83203125" style="246" customWidth="1"/>
    <col min="5124" max="5124" width="33" style="246" customWidth="1"/>
    <col min="5125" max="5125" width="0" style="246" hidden="1" customWidth="1"/>
    <col min="5126" max="5126" width="33.5" style="246" customWidth="1"/>
    <col min="5127" max="5127" width="20.5" style="246" customWidth="1"/>
    <col min="5128" max="5130" width="16.5" style="246" customWidth="1"/>
    <col min="5131" max="5131" width="14.33203125" style="246" customWidth="1"/>
    <col min="5132" max="5132" width="24" style="246" customWidth="1"/>
    <col min="5133" max="5133" width="12.83203125" style="246" customWidth="1"/>
    <col min="5134" max="5135" width="0" style="246" hidden="1" customWidth="1"/>
    <col min="5136" max="5136" width="13.83203125" style="246" bestFit="1" customWidth="1"/>
    <col min="5137" max="5137" width="13" style="246" customWidth="1"/>
    <col min="5138" max="5138" width="18.33203125" style="246" customWidth="1"/>
    <col min="5139" max="5376" width="11.5" style="246"/>
    <col min="5377" max="5377" width="2" style="246" customWidth="1"/>
    <col min="5378" max="5378" width="5.5" style="246" customWidth="1"/>
    <col min="5379" max="5379" width="42.83203125" style="246" customWidth="1"/>
    <col min="5380" max="5380" width="33" style="246" customWidth="1"/>
    <col min="5381" max="5381" width="0" style="246" hidden="1" customWidth="1"/>
    <col min="5382" max="5382" width="33.5" style="246" customWidth="1"/>
    <col min="5383" max="5383" width="20.5" style="246" customWidth="1"/>
    <col min="5384" max="5386" width="16.5" style="246" customWidth="1"/>
    <col min="5387" max="5387" width="14.33203125" style="246" customWidth="1"/>
    <col min="5388" max="5388" width="24" style="246" customWidth="1"/>
    <col min="5389" max="5389" width="12.83203125" style="246" customWidth="1"/>
    <col min="5390" max="5391" width="0" style="246" hidden="1" customWidth="1"/>
    <col min="5392" max="5392" width="13.83203125" style="246" bestFit="1" customWidth="1"/>
    <col min="5393" max="5393" width="13" style="246" customWidth="1"/>
    <col min="5394" max="5394" width="18.33203125" style="246" customWidth="1"/>
    <col min="5395" max="5632" width="11.5" style="246"/>
    <col min="5633" max="5633" width="2" style="246" customWidth="1"/>
    <col min="5634" max="5634" width="5.5" style="246" customWidth="1"/>
    <col min="5635" max="5635" width="42.83203125" style="246" customWidth="1"/>
    <col min="5636" max="5636" width="33" style="246" customWidth="1"/>
    <col min="5637" max="5637" width="0" style="246" hidden="1" customWidth="1"/>
    <col min="5638" max="5638" width="33.5" style="246" customWidth="1"/>
    <col min="5639" max="5639" width="20.5" style="246" customWidth="1"/>
    <col min="5640" max="5642" width="16.5" style="246" customWidth="1"/>
    <col min="5643" max="5643" width="14.33203125" style="246" customWidth="1"/>
    <col min="5644" max="5644" width="24" style="246" customWidth="1"/>
    <col min="5645" max="5645" width="12.83203125" style="246" customWidth="1"/>
    <col min="5646" max="5647" width="0" style="246" hidden="1" customWidth="1"/>
    <col min="5648" max="5648" width="13.83203125" style="246" bestFit="1" customWidth="1"/>
    <col min="5649" max="5649" width="13" style="246" customWidth="1"/>
    <col min="5650" max="5650" width="18.33203125" style="246" customWidth="1"/>
    <col min="5651" max="5888" width="11.5" style="246"/>
    <col min="5889" max="5889" width="2" style="246" customWidth="1"/>
    <col min="5890" max="5890" width="5.5" style="246" customWidth="1"/>
    <col min="5891" max="5891" width="42.83203125" style="246" customWidth="1"/>
    <col min="5892" max="5892" width="33" style="246" customWidth="1"/>
    <col min="5893" max="5893" width="0" style="246" hidden="1" customWidth="1"/>
    <col min="5894" max="5894" width="33.5" style="246" customWidth="1"/>
    <col min="5895" max="5895" width="20.5" style="246" customWidth="1"/>
    <col min="5896" max="5898" width="16.5" style="246" customWidth="1"/>
    <col min="5899" max="5899" width="14.33203125" style="246" customWidth="1"/>
    <col min="5900" max="5900" width="24" style="246" customWidth="1"/>
    <col min="5901" max="5901" width="12.83203125" style="246" customWidth="1"/>
    <col min="5902" max="5903" width="0" style="246" hidden="1" customWidth="1"/>
    <col min="5904" max="5904" width="13.83203125" style="246" bestFit="1" customWidth="1"/>
    <col min="5905" max="5905" width="13" style="246" customWidth="1"/>
    <col min="5906" max="5906" width="18.33203125" style="246" customWidth="1"/>
    <col min="5907" max="6144" width="11.5" style="246"/>
    <col min="6145" max="6145" width="2" style="246" customWidth="1"/>
    <col min="6146" max="6146" width="5.5" style="246" customWidth="1"/>
    <col min="6147" max="6147" width="42.83203125" style="246" customWidth="1"/>
    <col min="6148" max="6148" width="33" style="246" customWidth="1"/>
    <col min="6149" max="6149" width="0" style="246" hidden="1" customWidth="1"/>
    <col min="6150" max="6150" width="33.5" style="246" customWidth="1"/>
    <col min="6151" max="6151" width="20.5" style="246" customWidth="1"/>
    <col min="6152" max="6154" width="16.5" style="246" customWidth="1"/>
    <col min="6155" max="6155" width="14.33203125" style="246" customWidth="1"/>
    <col min="6156" max="6156" width="24" style="246" customWidth="1"/>
    <col min="6157" max="6157" width="12.83203125" style="246" customWidth="1"/>
    <col min="6158" max="6159" width="0" style="246" hidden="1" customWidth="1"/>
    <col min="6160" max="6160" width="13.83203125" style="246" bestFit="1" customWidth="1"/>
    <col min="6161" max="6161" width="13" style="246" customWidth="1"/>
    <col min="6162" max="6162" width="18.33203125" style="246" customWidth="1"/>
    <col min="6163" max="6400" width="11.5" style="246"/>
    <col min="6401" max="6401" width="2" style="246" customWidth="1"/>
    <col min="6402" max="6402" width="5.5" style="246" customWidth="1"/>
    <col min="6403" max="6403" width="42.83203125" style="246" customWidth="1"/>
    <col min="6404" max="6404" width="33" style="246" customWidth="1"/>
    <col min="6405" max="6405" width="0" style="246" hidden="1" customWidth="1"/>
    <col min="6406" max="6406" width="33.5" style="246" customWidth="1"/>
    <col min="6407" max="6407" width="20.5" style="246" customWidth="1"/>
    <col min="6408" max="6410" width="16.5" style="246" customWidth="1"/>
    <col min="6411" max="6411" width="14.33203125" style="246" customWidth="1"/>
    <col min="6412" max="6412" width="24" style="246" customWidth="1"/>
    <col min="6413" max="6413" width="12.83203125" style="246" customWidth="1"/>
    <col min="6414" max="6415" width="0" style="246" hidden="1" customWidth="1"/>
    <col min="6416" max="6416" width="13.83203125" style="246" bestFit="1" customWidth="1"/>
    <col min="6417" max="6417" width="13" style="246" customWidth="1"/>
    <col min="6418" max="6418" width="18.33203125" style="246" customWidth="1"/>
    <col min="6419" max="6656" width="11.5" style="246"/>
    <col min="6657" max="6657" width="2" style="246" customWidth="1"/>
    <col min="6658" max="6658" width="5.5" style="246" customWidth="1"/>
    <col min="6659" max="6659" width="42.83203125" style="246" customWidth="1"/>
    <col min="6660" max="6660" width="33" style="246" customWidth="1"/>
    <col min="6661" max="6661" width="0" style="246" hidden="1" customWidth="1"/>
    <col min="6662" max="6662" width="33.5" style="246" customWidth="1"/>
    <col min="6663" max="6663" width="20.5" style="246" customWidth="1"/>
    <col min="6664" max="6666" width="16.5" style="246" customWidth="1"/>
    <col min="6667" max="6667" width="14.33203125" style="246" customWidth="1"/>
    <col min="6668" max="6668" width="24" style="246" customWidth="1"/>
    <col min="6669" max="6669" width="12.83203125" style="246" customWidth="1"/>
    <col min="6670" max="6671" width="0" style="246" hidden="1" customWidth="1"/>
    <col min="6672" max="6672" width="13.83203125" style="246" bestFit="1" customWidth="1"/>
    <col min="6673" max="6673" width="13" style="246" customWidth="1"/>
    <col min="6674" max="6674" width="18.33203125" style="246" customWidth="1"/>
    <col min="6675" max="6912" width="11.5" style="246"/>
    <col min="6913" max="6913" width="2" style="246" customWidth="1"/>
    <col min="6914" max="6914" width="5.5" style="246" customWidth="1"/>
    <col min="6915" max="6915" width="42.83203125" style="246" customWidth="1"/>
    <col min="6916" max="6916" width="33" style="246" customWidth="1"/>
    <col min="6917" max="6917" width="0" style="246" hidden="1" customWidth="1"/>
    <col min="6918" max="6918" width="33.5" style="246" customWidth="1"/>
    <col min="6919" max="6919" width="20.5" style="246" customWidth="1"/>
    <col min="6920" max="6922" width="16.5" style="246" customWidth="1"/>
    <col min="6923" max="6923" width="14.33203125" style="246" customWidth="1"/>
    <col min="6924" max="6924" width="24" style="246" customWidth="1"/>
    <col min="6925" max="6925" width="12.83203125" style="246" customWidth="1"/>
    <col min="6926" max="6927" width="0" style="246" hidden="1" customWidth="1"/>
    <col min="6928" max="6928" width="13.83203125" style="246" bestFit="1" customWidth="1"/>
    <col min="6929" max="6929" width="13" style="246" customWidth="1"/>
    <col min="6930" max="6930" width="18.33203125" style="246" customWidth="1"/>
    <col min="6931" max="7168" width="11.5" style="246"/>
    <col min="7169" max="7169" width="2" style="246" customWidth="1"/>
    <col min="7170" max="7170" width="5.5" style="246" customWidth="1"/>
    <col min="7171" max="7171" width="42.83203125" style="246" customWidth="1"/>
    <col min="7172" max="7172" width="33" style="246" customWidth="1"/>
    <col min="7173" max="7173" width="0" style="246" hidden="1" customWidth="1"/>
    <col min="7174" max="7174" width="33.5" style="246" customWidth="1"/>
    <col min="7175" max="7175" width="20.5" style="246" customWidth="1"/>
    <col min="7176" max="7178" width="16.5" style="246" customWidth="1"/>
    <col min="7179" max="7179" width="14.33203125" style="246" customWidth="1"/>
    <col min="7180" max="7180" width="24" style="246" customWidth="1"/>
    <col min="7181" max="7181" width="12.83203125" style="246" customWidth="1"/>
    <col min="7182" max="7183" width="0" style="246" hidden="1" customWidth="1"/>
    <col min="7184" max="7184" width="13.83203125" style="246" bestFit="1" customWidth="1"/>
    <col min="7185" max="7185" width="13" style="246" customWidth="1"/>
    <col min="7186" max="7186" width="18.33203125" style="246" customWidth="1"/>
    <col min="7187" max="7424" width="11.5" style="246"/>
    <col min="7425" max="7425" width="2" style="246" customWidth="1"/>
    <col min="7426" max="7426" width="5.5" style="246" customWidth="1"/>
    <col min="7427" max="7427" width="42.83203125" style="246" customWidth="1"/>
    <col min="7428" max="7428" width="33" style="246" customWidth="1"/>
    <col min="7429" max="7429" width="0" style="246" hidden="1" customWidth="1"/>
    <col min="7430" max="7430" width="33.5" style="246" customWidth="1"/>
    <col min="7431" max="7431" width="20.5" style="246" customWidth="1"/>
    <col min="7432" max="7434" width="16.5" style="246" customWidth="1"/>
    <col min="7435" max="7435" width="14.33203125" style="246" customWidth="1"/>
    <col min="7436" max="7436" width="24" style="246" customWidth="1"/>
    <col min="7437" max="7437" width="12.83203125" style="246" customWidth="1"/>
    <col min="7438" max="7439" width="0" style="246" hidden="1" customWidth="1"/>
    <col min="7440" max="7440" width="13.83203125" style="246" bestFit="1" customWidth="1"/>
    <col min="7441" max="7441" width="13" style="246" customWidth="1"/>
    <col min="7442" max="7442" width="18.33203125" style="246" customWidth="1"/>
    <col min="7443" max="7680" width="11.5" style="246"/>
    <col min="7681" max="7681" width="2" style="246" customWidth="1"/>
    <col min="7682" max="7682" width="5.5" style="246" customWidth="1"/>
    <col min="7683" max="7683" width="42.83203125" style="246" customWidth="1"/>
    <col min="7684" max="7684" width="33" style="246" customWidth="1"/>
    <col min="7685" max="7685" width="0" style="246" hidden="1" customWidth="1"/>
    <col min="7686" max="7686" width="33.5" style="246" customWidth="1"/>
    <col min="7687" max="7687" width="20.5" style="246" customWidth="1"/>
    <col min="7688" max="7690" width="16.5" style="246" customWidth="1"/>
    <col min="7691" max="7691" width="14.33203125" style="246" customWidth="1"/>
    <col min="7692" max="7692" width="24" style="246" customWidth="1"/>
    <col min="7693" max="7693" width="12.83203125" style="246" customWidth="1"/>
    <col min="7694" max="7695" width="0" style="246" hidden="1" customWidth="1"/>
    <col min="7696" max="7696" width="13.83203125" style="246" bestFit="1" customWidth="1"/>
    <col min="7697" max="7697" width="13" style="246" customWidth="1"/>
    <col min="7698" max="7698" width="18.33203125" style="246" customWidth="1"/>
    <col min="7699" max="7936" width="11.5" style="246"/>
    <col min="7937" max="7937" width="2" style="246" customWidth="1"/>
    <col min="7938" max="7938" width="5.5" style="246" customWidth="1"/>
    <col min="7939" max="7939" width="42.83203125" style="246" customWidth="1"/>
    <col min="7940" max="7940" width="33" style="246" customWidth="1"/>
    <col min="7941" max="7941" width="0" style="246" hidden="1" customWidth="1"/>
    <col min="7942" max="7942" width="33.5" style="246" customWidth="1"/>
    <col min="7943" max="7943" width="20.5" style="246" customWidth="1"/>
    <col min="7944" max="7946" width="16.5" style="246" customWidth="1"/>
    <col min="7947" max="7947" width="14.33203125" style="246" customWidth="1"/>
    <col min="7948" max="7948" width="24" style="246" customWidth="1"/>
    <col min="7949" max="7949" width="12.83203125" style="246" customWidth="1"/>
    <col min="7950" max="7951" width="0" style="246" hidden="1" customWidth="1"/>
    <col min="7952" max="7952" width="13.83203125" style="246" bestFit="1" customWidth="1"/>
    <col min="7953" max="7953" width="13" style="246" customWidth="1"/>
    <col min="7954" max="7954" width="18.33203125" style="246" customWidth="1"/>
    <col min="7955" max="8192" width="11.5" style="246"/>
    <col min="8193" max="8193" width="2" style="246" customWidth="1"/>
    <col min="8194" max="8194" width="5.5" style="246" customWidth="1"/>
    <col min="8195" max="8195" width="42.83203125" style="246" customWidth="1"/>
    <col min="8196" max="8196" width="33" style="246" customWidth="1"/>
    <col min="8197" max="8197" width="0" style="246" hidden="1" customWidth="1"/>
    <col min="8198" max="8198" width="33.5" style="246" customWidth="1"/>
    <col min="8199" max="8199" width="20.5" style="246" customWidth="1"/>
    <col min="8200" max="8202" width="16.5" style="246" customWidth="1"/>
    <col min="8203" max="8203" width="14.33203125" style="246" customWidth="1"/>
    <col min="8204" max="8204" width="24" style="246" customWidth="1"/>
    <col min="8205" max="8205" width="12.83203125" style="246" customWidth="1"/>
    <col min="8206" max="8207" width="0" style="246" hidden="1" customWidth="1"/>
    <col min="8208" max="8208" width="13.83203125" style="246" bestFit="1" customWidth="1"/>
    <col min="8209" max="8209" width="13" style="246" customWidth="1"/>
    <col min="8210" max="8210" width="18.33203125" style="246" customWidth="1"/>
    <col min="8211" max="8448" width="11.5" style="246"/>
    <col min="8449" max="8449" width="2" style="246" customWidth="1"/>
    <col min="8450" max="8450" width="5.5" style="246" customWidth="1"/>
    <col min="8451" max="8451" width="42.83203125" style="246" customWidth="1"/>
    <col min="8452" max="8452" width="33" style="246" customWidth="1"/>
    <col min="8453" max="8453" width="0" style="246" hidden="1" customWidth="1"/>
    <col min="8454" max="8454" width="33.5" style="246" customWidth="1"/>
    <col min="8455" max="8455" width="20.5" style="246" customWidth="1"/>
    <col min="8456" max="8458" width="16.5" style="246" customWidth="1"/>
    <col min="8459" max="8459" width="14.33203125" style="246" customWidth="1"/>
    <col min="8460" max="8460" width="24" style="246" customWidth="1"/>
    <col min="8461" max="8461" width="12.83203125" style="246" customWidth="1"/>
    <col min="8462" max="8463" width="0" style="246" hidden="1" customWidth="1"/>
    <col min="8464" max="8464" width="13.83203125" style="246" bestFit="1" customWidth="1"/>
    <col min="8465" max="8465" width="13" style="246" customWidth="1"/>
    <col min="8466" max="8466" width="18.33203125" style="246" customWidth="1"/>
    <col min="8467" max="8704" width="11.5" style="246"/>
    <col min="8705" max="8705" width="2" style="246" customWidth="1"/>
    <col min="8706" max="8706" width="5.5" style="246" customWidth="1"/>
    <col min="8707" max="8707" width="42.83203125" style="246" customWidth="1"/>
    <col min="8708" max="8708" width="33" style="246" customWidth="1"/>
    <col min="8709" max="8709" width="0" style="246" hidden="1" customWidth="1"/>
    <col min="8710" max="8710" width="33.5" style="246" customWidth="1"/>
    <col min="8711" max="8711" width="20.5" style="246" customWidth="1"/>
    <col min="8712" max="8714" width="16.5" style="246" customWidth="1"/>
    <col min="8715" max="8715" width="14.33203125" style="246" customWidth="1"/>
    <col min="8716" max="8716" width="24" style="246" customWidth="1"/>
    <col min="8717" max="8717" width="12.83203125" style="246" customWidth="1"/>
    <col min="8718" max="8719" width="0" style="246" hidden="1" customWidth="1"/>
    <col min="8720" max="8720" width="13.83203125" style="246" bestFit="1" customWidth="1"/>
    <col min="8721" max="8721" width="13" style="246" customWidth="1"/>
    <col min="8722" max="8722" width="18.33203125" style="246" customWidth="1"/>
    <col min="8723" max="8960" width="11.5" style="246"/>
    <col min="8961" max="8961" width="2" style="246" customWidth="1"/>
    <col min="8962" max="8962" width="5.5" style="246" customWidth="1"/>
    <col min="8963" max="8963" width="42.83203125" style="246" customWidth="1"/>
    <col min="8964" max="8964" width="33" style="246" customWidth="1"/>
    <col min="8965" max="8965" width="0" style="246" hidden="1" customWidth="1"/>
    <col min="8966" max="8966" width="33.5" style="246" customWidth="1"/>
    <col min="8967" max="8967" width="20.5" style="246" customWidth="1"/>
    <col min="8968" max="8970" width="16.5" style="246" customWidth="1"/>
    <col min="8971" max="8971" width="14.33203125" style="246" customWidth="1"/>
    <col min="8972" max="8972" width="24" style="246" customWidth="1"/>
    <col min="8973" max="8973" width="12.83203125" style="246" customWidth="1"/>
    <col min="8974" max="8975" width="0" style="246" hidden="1" customWidth="1"/>
    <col min="8976" max="8976" width="13.83203125" style="246" bestFit="1" customWidth="1"/>
    <col min="8977" max="8977" width="13" style="246" customWidth="1"/>
    <col min="8978" max="8978" width="18.33203125" style="246" customWidth="1"/>
    <col min="8979" max="9216" width="11.5" style="246"/>
    <col min="9217" max="9217" width="2" style="246" customWidth="1"/>
    <col min="9218" max="9218" width="5.5" style="246" customWidth="1"/>
    <col min="9219" max="9219" width="42.83203125" style="246" customWidth="1"/>
    <col min="9220" max="9220" width="33" style="246" customWidth="1"/>
    <col min="9221" max="9221" width="0" style="246" hidden="1" customWidth="1"/>
    <col min="9222" max="9222" width="33.5" style="246" customWidth="1"/>
    <col min="9223" max="9223" width="20.5" style="246" customWidth="1"/>
    <col min="9224" max="9226" width="16.5" style="246" customWidth="1"/>
    <col min="9227" max="9227" width="14.33203125" style="246" customWidth="1"/>
    <col min="9228" max="9228" width="24" style="246" customWidth="1"/>
    <col min="9229" max="9229" width="12.83203125" style="246" customWidth="1"/>
    <col min="9230" max="9231" width="0" style="246" hidden="1" customWidth="1"/>
    <col min="9232" max="9232" width="13.83203125" style="246" bestFit="1" customWidth="1"/>
    <col min="9233" max="9233" width="13" style="246" customWidth="1"/>
    <col min="9234" max="9234" width="18.33203125" style="246" customWidth="1"/>
    <col min="9235" max="9472" width="11.5" style="246"/>
    <col min="9473" max="9473" width="2" style="246" customWidth="1"/>
    <col min="9474" max="9474" width="5.5" style="246" customWidth="1"/>
    <col min="9475" max="9475" width="42.83203125" style="246" customWidth="1"/>
    <col min="9476" max="9476" width="33" style="246" customWidth="1"/>
    <col min="9477" max="9477" width="0" style="246" hidden="1" customWidth="1"/>
    <col min="9478" max="9478" width="33.5" style="246" customWidth="1"/>
    <col min="9479" max="9479" width="20.5" style="246" customWidth="1"/>
    <col min="9480" max="9482" width="16.5" style="246" customWidth="1"/>
    <col min="9483" max="9483" width="14.33203125" style="246" customWidth="1"/>
    <col min="9484" max="9484" width="24" style="246" customWidth="1"/>
    <col min="9485" max="9485" width="12.83203125" style="246" customWidth="1"/>
    <col min="9486" max="9487" width="0" style="246" hidden="1" customWidth="1"/>
    <col min="9488" max="9488" width="13.83203125" style="246" bestFit="1" customWidth="1"/>
    <col min="9489" max="9489" width="13" style="246" customWidth="1"/>
    <col min="9490" max="9490" width="18.33203125" style="246" customWidth="1"/>
    <col min="9491" max="9728" width="11.5" style="246"/>
    <col min="9729" max="9729" width="2" style="246" customWidth="1"/>
    <col min="9730" max="9730" width="5.5" style="246" customWidth="1"/>
    <col min="9731" max="9731" width="42.83203125" style="246" customWidth="1"/>
    <col min="9732" max="9732" width="33" style="246" customWidth="1"/>
    <col min="9733" max="9733" width="0" style="246" hidden="1" customWidth="1"/>
    <col min="9734" max="9734" width="33.5" style="246" customWidth="1"/>
    <col min="9735" max="9735" width="20.5" style="246" customWidth="1"/>
    <col min="9736" max="9738" width="16.5" style="246" customWidth="1"/>
    <col min="9739" max="9739" width="14.33203125" style="246" customWidth="1"/>
    <col min="9740" max="9740" width="24" style="246" customWidth="1"/>
    <col min="9741" max="9741" width="12.83203125" style="246" customWidth="1"/>
    <col min="9742" max="9743" width="0" style="246" hidden="1" customWidth="1"/>
    <col min="9744" max="9744" width="13.83203125" style="246" bestFit="1" customWidth="1"/>
    <col min="9745" max="9745" width="13" style="246" customWidth="1"/>
    <col min="9746" max="9746" width="18.33203125" style="246" customWidth="1"/>
    <col min="9747" max="9984" width="11.5" style="246"/>
    <col min="9985" max="9985" width="2" style="246" customWidth="1"/>
    <col min="9986" max="9986" width="5.5" style="246" customWidth="1"/>
    <col min="9987" max="9987" width="42.83203125" style="246" customWidth="1"/>
    <col min="9988" max="9988" width="33" style="246" customWidth="1"/>
    <col min="9989" max="9989" width="0" style="246" hidden="1" customWidth="1"/>
    <col min="9990" max="9990" width="33.5" style="246" customWidth="1"/>
    <col min="9991" max="9991" width="20.5" style="246" customWidth="1"/>
    <col min="9992" max="9994" width="16.5" style="246" customWidth="1"/>
    <col min="9995" max="9995" width="14.33203125" style="246" customWidth="1"/>
    <col min="9996" max="9996" width="24" style="246" customWidth="1"/>
    <col min="9997" max="9997" width="12.83203125" style="246" customWidth="1"/>
    <col min="9998" max="9999" width="0" style="246" hidden="1" customWidth="1"/>
    <col min="10000" max="10000" width="13.83203125" style="246" bestFit="1" customWidth="1"/>
    <col min="10001" max="10001" width="13" style="246" customWidth="1"/>
    <col min="10002" max="10002" width="18.33203125" style="246" customWidth="1"/>
    <col min="10003" max="10240" width="11.5" style="246"/>
    <col min="10241" max="10241" width="2" style="246" customWidth="1"/>
    <col min="10242" max="10242" width="5.5" style="246" customWidth="1"/>
    <col min="10243" max="10243" width="42.83203125" style="246" customWidth="1"/>
    <col min="10244" max="10244" width="33" style="246" customWidth="1"/>
    <col min="10245" max="10245" width="0" style="246" hidden="1" customWidth="1"/>
    <col min="10246" max="10246" width="33.5" style="246" customWidth="1"/>
    <col min="10247" max="10247" width="20.5" style="246" customWidth="1"/>
    <col min="10248" max="10250" width="16.5" style="246" customWidth="1"/>
    <col min="10251" max="10251" width="14.33203125" style="246" customWidth="1"/>
    <col min="10252" max="10252" width="24" style="246" customWidth="1"/>
    <col min="10253" max="10253" width="12.83203125" style="246" customWidth="1"/>
    <col min="10254" max="10255" width="0" style="246" hidden="1" customWidth="1"/>
    <col min="10256" max="10256" width="13.83203125" style="246" bestFit="1" customWidth="1"/>
    <col min="10257" max="10257" width="13" style="246" customWidth="1"/>
    <col min="10258" max="10258" width="18.33203125" style="246" customWidth="1"/>
    <col min="10259" max="10496" width="11.5" style="246"/>
    <col min="10497" max="10497" width="2" style="246" customWidth="1"/>
    <col min="10498" max="10498" width="5.5" style="246" customWidth="1"/>
    <col min="10499" max="10499" width="42.83203125" style="246" customWidth="1"/>
    <col min="10500" max="10500" width="33" style="246" customWidth="1"/>
    <col min="10501" max="10501" width="0" style="246" hidden="1" customWidth="1"/>
    <col min="10502" max="10502" width="33.5" style="246" customWidth="1"/>
    <col min="10503" max="10503" width="20.5" style="246" customWidth="1"/>
    <col min="10504" max="10506" width="16.5" style="246" customWidth="1"/>
    <col min="10507" max="10507" width="14.33203125" style="246" customWidth="1"/>
    <col min="10508" max="10508" width="24" style="246" customWidth="1"/>
    <col min="10509" max="10509" width="12.83203125" style="246" customWidth="1"/>
    <col min="10510" max="10511" width="0" style="246" hidden="1" customWidth="1"/>
    <col min="10512" max="10512" width="13.83203125" style="246" bestFit="1" customWidth="1"/>
    <col min="10513" max="10513" width="13" style="246" customWidth="1"/>
    <col min="10514" max="10514" width="18.33203125" style="246" customWidth="1"/>
    <col min="10515" max="10752" width="11.5" style="246"/>
    <col min="10753" max="10753" width="2" style="246" customWidth="1"/>
    <col min="10754" max="10754" width="5.5" style="246" customWidth="1"/>
    <col min="10755" max="10755" width="42.83203125" style="246" customWidth="1"/>
    <col min="10756" max="10756" width="33" style="246" customWidth="1"/>
    <col min="10757" max="10757" width="0" style="246" hidden="1" customWidth="1"/>
    <col min="10758" max="10758" width="33.5" style="246" customWidth="1"/>
    <col min="10759" max="10759" width="20.5" style="246" customWidth="1"/>
    <col min="10760" max="10762" width="16.5" style="246" customWidth="1"/>
    <col min="10763" max="10763" width="14.33203125" style="246" customWidth="1"/>
    <col min="10764" max="10764" width="24" style="246" customWidth="1"/>
    <col min="10765" max="10765" width="12.83203125" style="246" customWidth="1"/>
    <col min="10766" max="10767" width="0" style="246" hidden="1" customWidth="1"/>
    <col min="10768" max="10768" width="13.83203125" style="246" bestFit="1" customWidth="1"/>
    <col min="10769" max="10769" width="13" style="246" customWidth="1"/>
    <col min="10770" max="10770" width="18.33203125" style="246" customWidth="1"/>
    <col min="10771" max="11008" width="11.5" style="246"/>
    <col min="11009" max="11009" width="2" style="246" customWidth="1"/>
    <col min="11010" max="11010" width="5.5" style="246" customWidth="1"/>
    <col min="11011" max="11011" width="42.83203125" style="246" customWidth="1"/>
    <col min="11012" max="11012" width="33" style="246" customWidth="1"/>
    <col min="11013" max="11013" width="0" style="246" hidden="1" customWidth="1"/>
    <col min="11014" max="11014" width="33.5" style="246" customWidth="1"/>
    <col min="11015" max="11015" width="20.5" style="246" customWidth="1"/>
    <col min="11016" max="11018" width="16.5" style="246" customWidth="1"/>
    <col min="11019" max="11019" width="14.33203125" style="246" customWidth="1"/>
    <col min="11020" max="11020" width="24" style="246" customWidth="1"/>
    <col min="11021" max="11021" width="12.83203125" style="246" customWidth="1"/>
    <col min="11022" max="11023" width="0" style="246" hidden="1" customWidth="1"/>
    <col min="11024" max="11024" width="13.83203125" style="246" bestFit="1" customWidth="1"/>
    <col min="11025" max="11025" width="13" style="246" customWidth="1"/>
    <col min="11026" max="11026" width="18.33203125" style="246" customWidth="1"/>
    <col min="11027" max="11264" width="11.5" style="246"/>
    <col min="11265" max="11265" width="2" style="246" customWidth="1"/>
    <col min="11266" max="11266" width="5.5" style="246" customWidth="1"/>
    <col min="11267" max="11267" width="42.83203125" style="246" customWidth="1"/>
    <col min="11268" max="11268" width="33" style="246" customWidth="1"/>
    <col min="11269" max="11269" width="0" style="246" hidden="1" customWidth="1"/>
    <col min="11270" max="11270" width="33.5" style="246" customWidth="1"/>
    <col min="11271" max="11271" width="20.5" style="246" customWidth="1"/>
    <col min="11272" max="11274" width="16.5" style="246" customWidth="1"/>
    <col min="11275" max="11275" width="14.33203125" style="246" customWidth="1"/>
    <col min="11276" max="11276" width="24" style="246" customWidth="1"/>
    <col min="11277" max="11277" width="12.83203125" style="246" customWidth="1"/>
    <col min="11278" max="11279" width="0" style="246" hidden="1" customWidth="1"/>
    <col min="11280" max="11280" width="13.83203125" style="246" bestFit="1" customWidth="1"/>
    <col min="11281" max="11281" width="13" style="246" customWidth="1"/>
    <col min="11282" max="11282" width="18.33203125" style="246" customWidth="1"/>
    <col min="11283" max="11520" width="11.5" style="246"/>
    <col min="11521" max="11521" width="2" style="246" customWidth="1"/>
    <col min="11522" max="11522" width="5.5" style="246" customWidth="1"/>
    <col min="11523" max="11523" width="42.83203125" style="246" customWidth="1"/>
    <col min="11524" max="11524" width="33" style="246" customWidth="1"/>
    <col min="11525" max="11525" width="0" style="246" hidden="1" customWidth="1"/>
    <col min="11526" max="11526" width="33.5" style="246" customWidth="1"/>
    <col min="11527" max="11527" width="20.5" style="246" customWidth="1"/>
    <col min="11528" max="11530" width="16.5" style="246" customWidth="1"/>
    <col min="11531" max="11531" width="14.33203125" style="246" customWidth="1"/>
    <col min="11532" max="11532" width="24" style="246" customWidth="1"/>
    <col min="11533" max="11533" width="12.83203125" style="246" customWidth="1"/>
    <col min="11534" max="11535" width="0" style="246" hidden="1" customWidth="1"/>
    <col min="11536" max="11536" width="13.83203125" style="246" bestFit="1" customWidth="1"/>
    <col min="11537" max="11537" width="13" style="246" customWidth="1"/>
    <col min="11538" max="11538" width="18.33203125" style="246" customWidth="1"/>
    <col min="11539" max="11776" width="11.5" style="246"/>
    <col min="11777" max="11777" width="2" style="246" customWidth="1"/>
    <col min="11778" max="11778" width="5.5" style="246" customWidth="1"/>
    <col min="11779" max="11779" width="42.83203125" style="246" customWidth="1"/>
    <col min="11780" max="11780" width="33" style="246" customWidth="1"/>
    <col min="11781" max="11781" width="0" style="246" hidden="1" customWidth="1"/>
    <col min="11782" max="11782" width="33.5" style="246" customWidth="1"/>
    <col min="11783" max="11783" width="20.5" style="246" customWidth="1"/>
    <col min="11784" max="11786" width="16.5" style="246" customWidth="1"/>
    <col min="11787" max="11787" width="14.33203125" style="246" customWidth="1"/>
    <col min="11788" max="11788" width="24" style="246" customWidth="1"/>
    <col min="11789" max="11789" width="12.83203125" style="246" customWidth="1"/>
    <col min="11790" max="11791" width="0" style="246" hidden="1" customWidth="1"/>
    <col min="11792" max="11792" width="13.83203125" style="246" bestFit="1" customWidth="1"/>
    <col min="11793" max="11793" width="13" style="246" customWidth="1"/>
    <col min="11794" max="11794" width="18.33203125" style="246" customWidth="1"/>
    <col min="11795" max="12032" width="11.5" style="246"/>
    <col min="12033" max="12033" width="2" style="246" customWidth="1"/>
    <col min="12034" max="12034" width="5.5" style="246" customWidth="1"/>
    <col min="12035" max="12035" width="42.83203125" style="246" customWidth="1"/>
    <col min="12036" max="12036" width="33" style="246" customWidth="1"/>
    <col min="12037" max="12037" width="0" style="246" hidden="1" customWidth="1"/>
    <col min="12038" max="12038" width="33.5" style="246" customWidth="1"/>
    <col min="12039" max="12039" width="20.5" style="246" customWidth="1"/>
    <col min="12040" max="12042" width="16.5" style="246" customWidth="1"/>
    <col min="12043" max="12043" width="14.33203125" style="246" customWidth="1"/>
    <col min="12044" max="12044" width="24" style="246" customWidth="1"/>
    <col min="12045" max="12045" width="12.83203125" style="246" customWidth="1"/>
    <col min="12046" max="12047" width="0" style="246" hidden="1" customWidth="1"/>
    <col min="12048" max="12048" width="13.83203125" style="246" bestFit="1" customWidth="1"/>
    <col min="12049" max="12049" width="13" style="246" customWidth="1"/>
    <col min="12050" max="12050" width="18.33203125" style="246" customWidth="1"/>
    <col min="12051" max="12288" width="11.5" style="246"/>
    <col min="12289" max="12289" width="2" style="246" customWidth="1"/>
    <col min="12290" max="12290" width="5.5" style="246" customWidth="1"/>
    <col min="12291" max="12291" width="42.83203125" style="246" customWidth="1"/>
    <col min="12292" max="12292" width="33" style="246" customWidth="1"/>
    <col min="12293" max="12293" width="0" style="246" hidden="1" customWidth="1"/>
    <col min="12294" max="12294" width="33.5" style="246" customWidth="1"/>
    <col min="12295" max="12295" width="20.5" style="246" customWidth="1"/>
    <col min="12296" max="12298" width="16.5" style="246" customWidth="1"/>
    <col min="12299" max="12299" width="14.33203125" style="246" customWidth="1"/>
    <col min="12300" max="12300" width="24" style="246" customWidth="1"/>
    <col min="12301" max="12301" width="12.83203125" style="246" customWidth="1"/>
    <col min="12302" max="12303" width="0" style="246" hidden="1" customWidth="1"/>
    <col min="12304" max="12304" width="13.83203125" style="246" bestFit="1" customWidth="1"/>
    <col min="12305" max="12305" width="13" style="246" customWidth="1"/>
    <col min="12306" max="12306" width="18.33203125" style="246" customWidth="1"/>
    <col min="12307" max="12544" width="11.5" style="246"/>
    <col min="12545" max="12545" width="2" style="246" customWidth="1"/>
    <col min="12546" max="12546" width="5.5" style="246" customWidth="1"/>
    <col min="12547" max="12547" width="42.83203125" style="246" customWidth="1"/>
    <col min="12548" max="12548" width="33" style="246" customWidth="1"/>
    <col min="12549" max="12549" width="0" style="246" hidden="1" customWidth="1"/>
    <col min="12550" max="12550" width="33.5" style="246" customWidth="1"/>
    <col min="12551" max="12551" width="20.5" style="246" customWidth="1"/>
    <col min="12552" max="12554" width="16.5" style="246" customWidth="1"/>
    <col min="12555" max="12555" width="14.33203125" style="246" customWidth="1"/>
    <col min="12556" max="12556" width="24" style="246" customWidth="1"/>
    <col min="12557" max="12557" width="12.83203125" style="246" customWidth="1"/>
    <col min="12558" max="12559" width="0" style="246" hidden="1" customWidth="1"/>
    <col min="12560" max="12560" width="13.83203125" style="246" bestFit="1" customWidth="1"/>
    <col min="12561" max="12561" width="13" style="246" customWidth="1"/>
    <col min="12562" max="12562" width="18.33203125" style="246" customWidth="1"/>
    <col min="12563" max="12800" width="11.5" style="246"/>
    <col min="12801" max="12801" width="2" style="246" customWidth="1"/>
    <col min="12802" max="12802" width="5.5" style="246" customWidth="1"/>
    <col min="12803" max="12803" width="42.83203125" style="246" customWidth="1"/>
    <col min="12804" max="12804" width="33" style="246" customWidth="1"/>
    <col min="12805" max="12805" width="0" style="246" hidden="1" customWidth="1"/>
    <col min="12806" max="12806" width="33.5" style="246" customWidth="1"/>
    <col min="12807" max="12807" width="20.5" style="246" customWidth="1"/>
    <col min="12808" max="12810" width="16.5" style="246" customWidth="1"/>
    <col min="12811" max="12811" width="14.33203125" style="246" customWidth="1"/>
    <col min="12812" max="12812" width="24" style="246" customWidth="1"/>
    <col min="12813" max="12813" width="12.83203125" style="246" customWidth="1"/>
    <col min="12814" max="12815" width="0" style="246" hidden="1" customWidth="1"/>
    <col min="12816" max="12816" width="13.83203125" style="246" bestFit="1" customWidth="1"/>
    <col min="12817" max="12817" width="13" style="246" customWidth="1"/>
    <col min="12818" max="12818" width="18.33203125" style="246" customWidth="1"/>
    <col min="12819" max="13056" width="11.5" style="246"/>
    <col min="13057" max="13057" width="2" style="246" customWidth="1"/>
    <col min="13058" max="13058" width="5.5" style="246" customWidth="1"/>
    <col min="13059" max="13059" width="42.83203125" style="246" customWidth="1"/>
    <col min="13060" max="13060" width="33" style="246" customWidth="1"/>
    <col min="13061" max="13061" width="0" style="246" hidden="1" customWidth="1"/>
    <col min="13062" max="13062" width="33.5" style="246" customWidth="1"/>
    <col min="13063" max="13063" width="20.5" style="246" customWidth="1"/>
    <col min="13064" max="13066" width="16.5" style="246" customWidth="1"/>
    <col min="13067" max="13067" width="14.33203125" style="246" customWidth="1"/>
    <col min="13068" max="13068" width="24" style="246" customWidth="1"/>
    <col min="13069" max="13069" width="12.83203125" style="246" customWidth="1"/>
    <col min="13070" max="13071" width="0" style="246" hidden="1" customWidth="1"/>
    <col min="13072" max="13072" width="13.83203125" style="246" bestFit="1" customWidth="1"/>
    <col min="13073" max="13073" width="13" style="246" customWidth="1"/>
    <col min="13074" max="13074" width="18.33203125" style="246" customWidth="1"/>
    <col min="13075" max="13312" width="11.5" style="246"/>
    <col min="13313" max="13313" width="2" style="246" customWidth="1"/>
    <col min="13314" max="13314" width="5.5" style="246" customWidth="1"/>
    <col min="13315" max="13315" width="42.83203125" style="246" customWidth="1"/>
    <col min="13316" max="13316" width="33" style="246" customWidth="1"/>
    <col min="13317" max="13317" width="0" style="246" hidden="1" customWidth="1"/>
    <col min="13318" max="13318" width="33.5" style="246" customWidth="1"/>
    <col min="13319" max="13319" width="20.5" style="246" customWidth="1"/>
    <col min="13320" max="13322" width="16.5" style="246" customWidth="1"/>
    <col min="13323" max="13323" width="14.33203125" style="246" customWidth="1"/>
    <col min="13324" max="13324" width="24" style="246" customWidth="1"/>
    <col min="13325" max="13325" width="12.83203125" style="246" customWidth="1"/>
    <col min="13326" max="13327" width="0" style="246" hidden="1" customWidth="1"/>
    <col min="13328" max="13328" width="13.83203125" style="246" bestFit="1" customWidth="1"/>
    <col min="13329" max="13329" width="13" style="246" customWidth="1"/>
    <col min="13330" max="13330" width="18.33203125" style="246" customWidth="1"/>
    <col min="13331" max="13568" width="11.5" style="246"/>
    <col min="13569" max="13569" width="2" style="246" customWidth="1"/>
    <col min="13570" max="13570" width="5.5" style="246" customWidth="1"/>
    <col min="13571" max="13571" width="42.83203125" style="246" customWidth="1"/>
    <col min="13572" max="13572" width="33" style="246" customWidth="1"/>
    <col min="13573" max="13573" width="0" style="246" hidden="1" customWidth="1"/>
    <col min="13574" max="13574" width="33.5" style="246" customWidth="1"/>
    <col min="13575" max="13575" width="20.5" style="246" customWidth="1"/>
    <col min="13576" max="13578" width="16.5" style="246" customWidth="1"/>
    <col min="13579" max="13579" width="14.33203125" style="246" customWidth="1"/>
    <col min="13580" max="13580" width="24" style="246" customWidth="1"/>
    <col min="13581" max="13581" width="12.83203125" style="246" customWidth="1"/>
    <col min="13582" max="13583" width="0" style="246" hidden="1" customWidth="1"/>
    <col min="13584" max="13584" width="13.83203125" style="246" bestFit="1" customWidth="1"/>
    <col min="13585" max="13585" width="13" style="246" customWidth="1"/>
    <col min="13586" max="13586" width="18.33203125" style="246" customWidth="1"/>
    <col min="13587" max="13824" width="11.5" style="246"/>
    <col min="13825" max="13825" width="2" style="246" customWidth="1"/>
    <col min="13826" max="13826" width="5.5" style="246" customWidth="1"/>
    <col min="13827" max="13827" width="42.83203125" style="246" customWidth="1"/>
    <col min="13828" max="13828" width="33" style="246" customWidth="1"/>
    <col min="13829" max="13829" width="0" style="246" hidden="1" customWidth="1"/>
    <col min="13830" max="13830" width="33.5" style="246" customWidth="1"/>
    <col min="13831" max="13831" width="20.5" style="246" customWidth="1"/>
    <col min="13832" max="13834" width="16.5" style="246" customWidth="1"/>
    <col min="13835" max="13835" width="14.33203125" style="246" customWidth="1"/>
    <col min="13836" max="13836" width="24" style="246" customWidth="1"/>
    <col min="13837" max="13837" width="12.83203125" style="246" customWidth="1"/>
    <col min="13838" max="13839" width="0" style="246" hidden="1" customWidth="1"/>
    <col min="13840" max="13840" width="13.83203125" style="246" bestFit="1" customWidth="1"/>
    <col min="13841" max="13841" width="13" style="246" customWidth="1"/>
    <col min="13842" max="13842" width="18.33203125" style="246" customWidth="1"/>
    <col min="13843" max="14080" width="11.5" style="246"/>
    <col min="14081" max="14081" width="2" style="246" customWidth="1"/>
    <col min="14082" max="14082" width="5.5" style="246" customWidth="1"/>
    <col min="14083" max="14083" width="42.83203125" style="246" customWidth="1"/>
    <col min="14084" max="14084" width="33" style="246" customWidth="1"/>
    <col min="14085" max="14085" width="0" style="246" hidden="1" customWidth="1"/>
    <col min="14086" max="14086" width="33.5" style="246" customWidth="1"/>
    <col min="14087" max="14087" width="20.5" style="246" customWidth="1"/>
    <col min="14088" max="14090" width="16.5" style="246" customWidth="1"/>
    <col min="14091" max="14091" width="14.33203125" style="246" customWidth="1"/>
    <col min="14092" max="14092" width="24" style="246" customWidth="1"/>
    <col min="14093" max="14093" width="12.83203125" style="246" customWidth="1"/>
    <col min="14094" max="14095" width="0" style="246" hidden="1" customWidth="1"/>
    <col min="14096" max="14096" width="13.83203125" style="246" bestFit="1" customWidth="1"/>
    <col min="14097" max="14097" width="13" style="246" customWidth="1"/>
    <col min="14098" max="14098" width="18.33203125" style="246" customWidth="1"/>
    <col min="14099" max="14336" width="11.5" style="246"/>
    <col min="14337" max="14337" width="2" style="246" customWidth="1"/>
    <col min="14338" max="14338" width="5.5" style="246" customWidth="1"/>
    <col min="14339" max="14339" width="42.83203125" style="246" customWidth="1"/>
    <col min="14340" max="14340" width="33" style="246" customWidth="1"/>
    <col min="14341" max="14341" width="0" style="246" hidden="1" customWidth="1"/>
    <col min="14342" max="14342" width="33.5" style="246" customWidth="1"/>
    <col min="14343" max="14343" width="20.5" style="246" customWidth="1"/>
    <col min="14344" max="14346" width="16.5" style="246" customWidth="1"/>
    <col min="14347" max="14347" width="14.33203125" style="246" customWidth="1"/>
    <col min="14348" max="14348" width="24" style="246" customWidth="1"/>
    <col min="14349" max="14349" width="12.83203125" style="246" customWidth="1"/>
    <col min="14350" max="14351" width="0" style="246" hidden="1" customWidth="1"/>
    <col min="14352" max="14352" width="13.83203125" style="246" bestFit="1" customWidth="1"/>
    <col min="14353" max="14353" width="13" style="246" customWidth="1"/>
    <col min="14354" max="14354" width="18.33203125" style="246" customWidth="1"/>
    <col min="14355" max="14592" width="11.5" style="246"/>
    <col min="14593" max="14593" width="2" style="246" customWidth="1"/>
    <col min="14594" max="14594" width="5.5" style="246" customWidth="1"/>
    <col min="14595" max="14595" width="42.83203125" style="246" customWidth="1"/>
    <col min="14596" max="14596" width="33" style="246" customWidth="1"/>
    <col min="14597" max="14597" width="0" style="246" hidden="1" customWidth="1"/>
    <col min="14598" max="14598" width="33.5" style="246" customWidth="1"/>
    <col min="14599" max="14599" width="20.5" style="246" customWidth="1"/>
    <col min="14600" max="14602" width="16.5" style="246" customWidth="1"/>
    <col min="14603" max="14603" width="14.33203125" style="246" customWidth="1"/>
    <col min="14604" max="14604" width="24" style="246" customWidth="1"/>
    <col min="14605" max="14605" width="12.83203125" style="246" customWidth="1"/>
    <col min="14606" max="14607" width="0" style="246" hidden="1" customWidth="1"/>
    <col min="14608" max="14608" width="13.83203125" style="246" bestFit="1" customWidth="1"/>
    <col min="14609" max="14609" width="13" style="246" customWidth="1"/>
    <col min="14610" max="14610" width="18.33203125" style="246" customWidth="1"/>
    <col min="14611" max="14848" width="11.5" style="246"/>
    <col min="14849" max="14849" width="2" style="246" customWidth="1"/>
    <col min="14850" max="14850" width="5.5" style="246" customWidth="1"/>
    <col min="14851" max="14851" width="42.83203125" style="246" customWidth="1"/>
    <col min="14852" max="14852" width="33" style="246" customWidth="1"/>
    <col min="14853" max="14853" width="0" style="246" hidden="1" customWidth="1"/>
    <col min="14854" max="14854" width="33.5" style="246" customWidth="1"/>
    <col min="14855" max="14855" width="20.5" style="246" customWidth="1"/>
    <col min="14856" max="14858" width="16.5" style="246" customWidth="1"/>
    <col min="14859" max="14859" width="14.33203125" style="246" customWidth="1"/>
    <col min="14860" max="14860" width="24" style="246" customWidth="1"/>
    <col min="14861" max="14861" width="12.83203125" style="246" customWidth="1"/>
    <col min="14862" max="14863" width="0" style="246" hidden="1" customWidth="1"/>
    <col min="14864" max="14864" width="13.83203125" style="246" bestFit="1" customWidth="1"/>
    <col min="14865" max="14865" width="13" style="246" customWidth="1"/>
    <col min="14866" max="14866" width="18.33203125" style="246" customWidth="1"/>
    <col min="14867" max="15104" width="11.5" style="246"/>
    <col min="15105" max="15105" width="2" style="246" customWidth="1"/>
    <col min="15106" max="15106" width="5.5" style="246" customWidth="1"/>
    <col min="15107" max="15107" width="42.83203125" style="246" customWidth="1"/>
    <col min="15108" max="15108" width="33" style="246" customWidth="1"/>
    <col min="15109" max="15109" width="0" style="246" hidden="1" customWidth="1"/>
    <col min="15110" max="15110" width="33.5" style="246" customWidth="1"/>
    <col min="15111" max="15111" width="20.5" style="246" customWidth="1"/>
    <col min="15112" max="15114" width="16.5" style="246" customWidth="1"/>
    <col min="15115" max="15115" width="14.33203125" style="246" customWidth="1"/>
    <col min="15116" max="15116" width="24" style="246" customWidth="1"/>
    <col min="15117" max="15117" width="12.83203125" style="246" customWidth="1"/>
    <col min="15118" max="15119" width="0" style="246" hidden="1" customWidth="1"/>
    <col min="15120" max="15120" width="13.83203125" style="246" bestFit="1" customWidth="1"/>
    <col min="15121" max="15121" width="13" style="246" customWidth="1"/>
    <col min="15122" max="15122" width="18.33203125" style="246" customWidth="1"/>
    <col min="15123" max="15360" width="11.5" style="246"/>
    <col min="15361" max="15361" width="2" style="246" customWidth="1"/>
    <col min="15362" max="15362" width="5.5" style="246" customWidth="1"/>
    <col min="15363" max="15363" width="42.83203125" style="246" customWidth="1"/>
    <col min="15364" max="15364" width="33" style="246" customWidth="1"/>
    <col min="15365" max="15365" width="0" style="246" hidden="1" customWidth="1"/>
    <col min="15366" max="15366" width="33.5" style="246" customWidth="1"/>
    <col min="15367" max="15367" width="20.5" style="246" customWidth="1"/>
    <col min="15368" max="15370" width="16.5" style="246" customWidth="1"/>
    <col min="15371" max="15371" width="14.33203125" style="246" customWidth="1"/>
    <col min="15372" max="15372" width="24" style="246" customWidth="1"/>
    <col min="15373" max="15373" width="12.83203125" style="246" customWidth="1"/>
    <col min="15374" max="15375" width="0" style="246" hidden="1" customWidth="1"/>
    <col min="15376" max="15376" width="13.83203125" style="246" bestFit="1" customWidth="1"/>
    <col min="15377" max="15377" width="13" style="246" customWidth="1"/>
    <col min="15378" max="15378" width="18.33203125" style="246" customWidth="1"/>
    <col min="15379" max="15616" width="11.5" style="246"/>
    <col min="15617" max="15617" width="2" style="246" customWidth="1"/>
    <col min="15618" max="15618" width="5.5" style="246" customWidth="1"/>
    <col min="15619" max="15619" width="42.83203125" style="246" customWidth="1"/>
    <col min="15620" max="15620" width="33" style="246" customWidth="1"/>
    <col min="15621" max="15621" width="0" style="246" hidden="1" customWidth="1"/>
    <col min="15622" max="15622" width="33.5" style="246" customWidth="1"/>
    <col min="15623" max="15623" width="20.5" style="246" customWidth="1"/>
    <col min="15624" max="15626" width="16.5" style="246" customWidth="1"/>
    <col min="15627" max="15627" width="14.33203125" style="246" customWidth="1"/>
    <col min="15628" max="15628" width="24" style="246" customWidth="1"/>
    <col min="15629" max="15629" width="12.83203125" style="246" customWidth="1"/>
    <col min="15630" max="15631" width="0" style="246" hidden="1" customWidth="1"/>
    <col min="15632" max="15632" width="13.83203125" style="246" bestFit="1" customWidth="1"/>
    <col min="15633" max="15633" width="13" style="246" customWidth="1"/>
    <col min="15634" max="15634" width="18.33203125" style="246" customWidth="1"/>
    <col min="15635" max="15872" width="11.5" style="246"/>
    <col min="15873" max="15873" width="2" style="246" customWidth="1"/>
    <col min="15874" max="15874" width="5.5" style="246" customWidth="1"/>
    <col min="15875" max="15875" width="42.83203125" style="246" customWidth="1"/>
    <col min="15876" max="15876" width="33" style="246" customWidth="1"/>
    <col min="15877" max="15877" width="0" style="246" hidden="1" customWidth="1"/>
    <col min="15878" max="15878" width="33.5" style="246" customWidth="1"/>
    <col min="15879" max="15879" width="20.5" style="246" customWidth="1"/>
    <col min="15880" max="15882" width="16.5" style="246" customWidth="1"/>
    <col min="15883" max="15883" width="14.33203125" style="246" customWidth="1"/>
    <col min="15884" max="15884" width="24" style="246" customWidth="1"/>
    <col min="15885" max="15885" width="12.83203125" style="246" customWidth="1"/>
    <col min="15886" max="15887" width="0" style="246" hidden="1" customWidth="1"/>
    <col min="15888" max="15888" width="13.83203125" style="246" bestFit="1" customWidth="1"/>
    <col min="15889" max="15889" width="13" style="246" customWidth="1"/>
    <col min="15890" max="15890" width="18.33203125" style="246" customWidth="1"/>
    <col min="15891" max="16128" width="11.5" style="246"/>
    <col min="16129" max="16129" width="2" style="246" customWidth="1"/>
    <col min="16130" max="16130" width="5.5" style="246" customWidth="1"/>
    <col min="16131" max="16131" width="42.83203125" style="246" customWidth="1"/>
    <col min="16132" max="16132" width="33" style="246" customWidth="1"/>
    <col min="16133" max="16133" width="0" style="246" hidden="1" customWidth="1"/>
    <col min="16134" max="16134" width="33.5" style="246" customWidth="1"/>
    <col min="16135" max="16135" width="20.5" style="246" customWidth="1"/>
    <col min="16136" max="16138" width="16.5" style="246" customWidth="1"/>
    <col min="16139" max="16139" width="14.33203125" style="246" customWidth="1"/>
    <col min="16140" max="16140" width="24" style="246" customWidth="1"/>
    <col min="16141" max="16141" width="12.83203125" style="246" customWidth="1"/>
    <col min="16142" max="16143" width="0" style="246" hidden="1" customWidth="1"/>
    <col min="16144" max="16144" width="13.83203125" style="246" bestFit="1" customWidth="1"/>
    <col min="16145" max="16145" width="13" style="246" customWidth="1"/>
    <col min="16146" max="16146" width="18.33203125" style="246" customWidth="1"/>
    <col min="16147" max="16384" width="11.5" style="246"/>
  </cols>
  <sheetData>
    <row r="1" spans="2:18" ht="16" x14ac:dyDescent="0.2">
      <c r="B1" s="247"/>
      <c r="C1" s="248"/>
      <c r="D1" s="248"/>
      <c r="E1" s="248"/>
      <c r="F1" s="247"/>
      <c r="G1" s="247"/>
      <c r="H1" s="247"/>
      <c r="I1" s="247"/>
      <c r="J1" s="247"/>
      <c r="K1" s="247"/>
      <c r="L1" s="247"/>
      <c r="M1" s="247"/>
      <c r="N1" s="249"/>
      <c r="O1" s="250"/>
      <c r="P1" s="251"/>
      <c r="Q1" s="247"/>
    </row>
    <row r="2" spans="2:18" ht="16" x14ac:dyDescent="0.2">
      <c r="C2" s="301" t="s">
        <v>827</v>
      </c>
      <c r="D2" s="301"/>
      <c r="E2" s="301"/>
      <c r="F2" s="5"/>
      <c r="G2" s="5"/>
      <c r="H2" s="5"/>
      <c r="I2" s="5"/>
      <c r="J2" s="5"/>
      <c r="K2" s="5"/>
      <c r="L2" s="5"/>
      <c r="M2" s="5"/>
      <c r="N2" s="5"/>
      <c r="O2" s="5"/>
      <c r="P2" s="5"/>
      <c r="Q2" s="5"/>
      <c r="R2" s="252"/>
    </row>
    <row r="3" spans="2:18" ht="16" x14ac:dyDescent="0.2">
      <c r="B3" s="253"/>
      <c r="C3" s="301" t="s">
        <v>830</v>
      </c>
      <c r="D3" s="301"/>
      <c r="E3" s="301"/>
      <c r="F3" s="5"/>
      <c r="G3" s="5"/>
      <c r="H3" s="5"/>
      <c r="I3" s="5"/>
      <c r="J3" s="5"/>
      <c r="K3" s="5"/>
      <c r="L3" s="5"/>
      <c r="M3" s="5"/>
      <c r="N3" s="5"/>
      <c r="O3" s="5"/>
      <c r="P3" s="5"/>
      <c r="Q3" s="254"/>
      <c r="R3" s="252"/>
    </row>
    <row r="4" spans="2:18" ht="14" thickBot="1" x14ac:dyDescent="0.2">
      <c r="B4" s="255"/>
      <c r="C4" s="256"/>
      <c r="D4" s="256"/>
      <c r="E4" s="257"/>
      <c r="F4" s="258"/>
      <c r="G4" s="258"/>
      <c r="H4" s="258"/>
      <c r="I4" s="258"/>
      <c r="J4" s="258"/>
      <c r="K4" s="258"/>
      <c r="L4" s="258"/>
      <c r="M4" s="258"/>
      <c r="N4" s="258"/>
    </row>
    <row r="5" spans="2:18" ht="19" thickTop="1" thickBot="1" x14ac:dyDescent="0.2">
      <c r="C5" s="266" t="s">
        <v>828</v>
      </c>
      <c r="D5" s="267" t="s">
        <v>831</v>
      </c>
      <c r="E5" s="260" t="s">
        <v>829</v>
      </c>
    </row>
    <row r="6" spans="2:18" ht="15" thickTop="1" thickBot="1" x14ac:dyDescent="0.2">
      <c r="C6" s="298" t="s">
        <v>838</v>
      </c>
      <c r="D6" s="299">
        <f>Obras!E22</f>
        <v>121864690.65056781</v>
      </c>
      <c r="E6" s="262"/>
    </row>
    <row r="7" spans="2:18" ht="15" thickTop="1" thickBot="1" x14ac:dyDescent="0.2">
      <c r="C7" s="298" t="s">
        <v>562</v>
      </c>
      <c r="D7" s="299">
        <f>'Mov. de Tierras'!E9</f>
        <v>25371625.122900002</v>
      </c>
      <c r="E7" s="262">
        <f>+'[1]Topografia y Suelos'!P26</f>
        <v>60000</v>
      </c>
    </row>
    <row r="8" spans="2:18" ht="15" thickTop="1" thickBot="1" x14ac:dyDescent="0.2">
      <c r="C8" s="298" t="s">
        <v>837</v>
      </c>
      <c r="D8" s="299">
        <f>Mantenimiento!E10</f>
        <v>71776150.187849998</v>
      </c>
      <c r="E8" s="262">
        <f>+'[1]Supervisión Carreteras'!P14</f>
        <v>785934.86</v>
      </c>
    </row>
    <row r="9" spans="2:18" ht="15" thickTop="1" thickBot="1" x14ac:dyDescent="0.2">
      <c r="C9" s="261" t="s">
        <v>833</v>
      </c>
      <c r="D9" s="262">
        <f>'Alq. Equipos, Maquinarias'!E32</f>
        <v>73839470.63945882</v>
      </c>
      <c r="E9" s="262">
        <f>+'[1]Supervisión Edificaciones'!P14</f>
        <v>309891.17</v>
      </c>
    </row>
    <row r="10" spans="2:18" ht="20" thickTop="1" thickBot="1" x14ac:dyDescent="0.2">
      <c r="C10" s="263" t="s">
        <v>777</v>
      </c>
      <c r="D10" s="264">
        <f>SUM(D6:D9)</f>
        <v>292851936.60077661</v>
      </c>
      <c r="E10" s="265">
        <f>SUM(E6:E9)</f>
        <v>1155826.03</v>
      </c>
    </row>
    <row r="11" spans="2:18" ht="25" customHeight="1" thickTop="1" x14ac:dyDescent="0.15"/>
  </sheetData>
  <mergeCells count="2">
    <mergeCell ref="C2:E2"/>
    <mergeCell ref="C3:E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2D0F-01C8-48F4-B4BB-E1A34924600E}">
  <dimension ref="B1:S24"/>
  <sheetViews>
    <sheetView showGridLines="0" view="pageBreakPreview" topLeftCell="C12" zoomScale="102" zoomScaleNormal="100" zoomScaleSheetLayoutView="100" workbookViewId="0">
      <selection activeCell="D8" sqref="D8"/>
    </sheetView>
  </sheetViews>
  <sheetFormatPr baseColWidth="10" defaultColWidth="10.83203125" defaultRowHeight="12" x14ac:dyDescent="0.15"/>
  <cols>
    <col min="1" max="1" width="3.1640625" style="237" customWidth="1"/>
    <col min="2" max="2" width="5.1640625" style="237" customWidth="1"/>
    <col min="3" max="3" width="40.33203125" style="294" customWidth="1"/>
    <col min="4" max="4" width="57.1640625" style="237" customWidth="1"/>
    <col min="5" max="5" width="16.83203125" style="294" bestFit="1" customWidth="1"/>
    <col min="6" max="6" width="10.6640625" style="237" customWidth="1"/>
    <col min="7" max="7" width="19.1640625" style="237" customWidth="1"/>
    <col min="8" max="8" width="14.6640625" style="237" customWidth="1"/>
    <col min="9" max="9" width="5.83203125" style="237" hidden="1" customWidth="1"/>
    <col min="10" max="10" width="13.6640625" style="237" hidden="1" customWidth="1"/>
    <col min="11" max="11" width="79.5" style="237" customWidth="1"/>
    <col min="12" max="16384" width="10.83203125" style="237"/>
  </cols>
  <sheetData>
    <row r="1" spans="2:19" ht="16" x14ac:dyDescent="0.2">
      <c r="H1" s="281"/>
      <c r="I1" s="281"/>
      <c r="J1" s="281"/>
      <c r="K1" s="281"/>
      <c r="L1" s="281"/>
      <c r="M1" s="281"/>
      <c r="N1" s="281"/>
      <c r="O1" s="281"/>
      <c r="P1" s="281"/>
      <c r="Q1" s="281"/>
      <c r="R1" s="281"/>
      <c r="S1" s="281"/>
    </row>
    <row r="2" spans="2:19" ht="16" x14ac:dyDescent="0.2">
      <c r="B2" s="302" t="s">
        <v>832</v>
      </c>
      <c r="C2" s="302"/>
      <c r="D2" s="302"/>
      <c r="E2" s="302"/>
      <c r="F2" s="302"/>
      <c r="G2" s="302"/>
      <c r="H2" s="302"/>
      <c r="I2" s="280"/>
      <c r="J2" s="280"/>
      <c r="K2" s="280"/>
      <c r="L2" s="280"/>
      <c r="M2" s="280"/>
      <c r="N2" s="280"/>
      <c r="O2" s="280"/>
      <c r="P2" s="280"/>
      <c r="Q2" s="280"/>
      <c r="R2" s="280"/>
      <c r="S2" s="280"/>
    </row>
    <row r="3" spans="2:19" ht="16" x14ac:dyDescent="0.2">
      <c r="B3" s="303" t="s">
        <v>830</v>
      </c>
      <c r="C3" s="303"/>
      <c r="D3" s="303"/>
      <c r="E3" s="303"/>
      <c r="F3" s="303"/>
      <c r="G3" s="303"/>
      <c r="H3" s="303"/>
      <c r="I3" s="282"/>
      <c r="J3" s="282"/>
      <c r="K3" s="282"/>
      <c r="L3" s="282"/>
      <c r="M3" s="282"/>
      <c r="N3" s="282"/>
      <c r="O3" s="282"/>
      <c r="P3" s="282"/>
      <c r="Q3" s="282"/>
      <c r="R3" s="282"/>
      <c r="S3" s="282"/>
    </row>
    <row r="4" spans="2:19" ht="13" thickBot="1" x14ac:dyDescent="0.2">
      <c r="B4" s="238"/>
      <c r="C4" s="297"/>
    </row>
    <row r="5" spans="2:19" ht="40" thickTop="1" x14ac:dyDescent="0.15">
      <c r="B5" s="304" t="s">
        <v>742</v>
      </c>
      <c r="C5" s="304" t="s">
        <v>743</v>
      </c>
      <c r="D5" s="304" t="s">
        <v>744</v>
      </c>
      <c r="E5" s="304" t="s">
        <v>745</v>
      </c>
      <c r="F5" s="304" t="s">
        <v>746</v>
      </c>
      <c r="G5" s="304" t="s">
        <v>747</v>
      </c>
      <c r="H5" s="304" t="s">
        <v>748</v>
      </c>
      <c r="I5" s="272" t="s">
        <v>749</v>
      </c>
      <c r="J5" s="240" t="s">
        <v>778</v>
      </c>
      <c r="K5" s="304" t="s">
        <v>842</v>
      </c>
    </row>
    <row r="6" spans="2:19" ht="15" customHeight="1" thickBot="1" x14ac:dyDescent="0.2">
      <c r="B6" s="305"/>
      <c r="C6" s="305"/>
      <c r="D6" s="305"/>
      <c r="E6" s="305"/>
      <c r="F6" s="305"/>
      <c r="G6" s="305"/>
      <c r="H6" s="305"/>
      <c r="I6" s="272"/>
      <c r="J6" s="240"/>
      <c r="K6" s="305"/>
    </row>
    <row r="7" spans="2:19" s="242" customFormat="1" ht="16" thickTop="1" thickBot="1" x14ac:dyDescent="0.2">
      <c r="B7" s="269">
        <v>1</v>
      </c>
      <c r="C7" s="269" t="s">
        <v>788</v>
      </c>
      <c r="D7" s="269" t="s">
        <v>789</v>
      </c>
      <c r="E7" s="293">
        <v>1904370.3</v>
      </c>
      <c r="F7" s="269" t="s">
        <v>752</v>
      </c>
      <c r="G7" s="276"/>
      <c r="H7" s="275">
        <v>1</v>
      </c>
      <c r="I7" s="274"/>
      <c r="J7" s="243"/>
    </row>
    <row r="8" spans="2:19" s="242" customFormat="1" ht="16" thickTop="1" thickBot="1" x14ac:dyDescent="0.2">
      <c r="B8" s="269">
        <v>2</v>
      </c>
      <c r="C8" s="269" t="s">
        <v>793</v>
      </c>
      <c r="D8" s="269" t="s">
        <v>794</v>
      </c>
      <c r="E8" s="293">
        <v>1383732.3187343599</v>
      </c>
      <c r="F8" s="269" t="s">
        <v>752</v>
      </c>
      <c r="G8" s="276"/>
      <c r="H8" s="275">
        <v>1</v>
      </c>
      <c r="I8" s="274"/>
      <c r="J8" s="243"/>
    </row>
    <row r="9" spans="2:19" s="242" customFormat="1" ht="44" thickTop="1" thickBot="1" x14ac:dyDescent="0.2">
      <c r="B9" s="269">
        <v>3</v>
      </c>
      <c r="C9" s="269" t="s">
        <v>759</v>
      </c>
      <c r="D9" s="269" t="s">
        <v>834</v>
      </c>
      <c r="E9" s="293">
        <v>5086883.0199999996</v>
      </c>
      <c r="F9" s="270" t="s">
        <v>752</v>
      </c>
      <c r="G9" s="270"/>
      <c r="H9" s="271">
        <v>1</v>
      </c>
      <c r="I9" s="271">
        <v>1</v>
      </c>
      <c r="J9" s="243"/>
    </row>
    <row r="10" spans="2:19" s="242" customFormat="1" ht="16" thickTop="1" thickBot="1" x14ac:dyDescent="0.2">
      <c r="B10" s="269">
        <v>4</v>
      </c>
      <c r="C10" s="269" t="s">
        <v>760</v>
      </c>
      <c r="D10" s="269" t="s">
        <v>761</v>
      </c>
      <c r="E10" s="293">
        <v>5750977.9900000002</v>
      </c>
      <c r="F10" s="270" t="s">
        <v>752</v>
      </c>
      <c r="G10" s="270"/>
      <c r="H10" s="271">
        <v>1</v>
      </c>
      <c r="I10" s="271">
        <v>1</v>
      </c>
      <c r="J10" s="243"/>
    </row>
    <row r="11" spans="2:19" s="242" customFormat="1" ht="72" thickTop="1" thickBot="1" x14ac:dyDescent="0.2">
      <c r="B11" s="269">
        <v>5</v>
      </c>
      <c r="C11" s="269" t="s">
        <v>762</v>
      </c>
      <c r="D11" s="269" t="s">
        <v>763</v>
      </c>
      <c r="E11" s="293">
        <v>4159989</v>
      </c>
      <c r="F11" s="270" t="s">
        <v>752</v>
      </c>
      <c r="G11" s="270"/>
      <c r="H11" s="271">
        <v>1</v>
      </c>
      <c r="I11" s="271">
        <v>1</v>
      </c>
      <c r="J11" s="243"/>
    </row>
    <row r="12" spans="2:19" s="242" customFormat="1" ht="86" thickTop="1" thickBot="1" x14ac:dyDescent="0.2">
      <c r="B12" s="269">
        <v>6</v>
      </c>
      <c r="D12" s="269" t="s">
        <v>840</v>
      </c>
      <c r="E12" s="293">
        <v>8822076.25</v>
      </c>
      <c r="F12" s="270"/>
      <c r="G12" s="270"/>
      <c r="H12" s="271"/>
      <c r="I12" s="271"/>
      <c r="J12" s="243"/>
      <c r="K12" s="271" t="s">
        <v>841</v>
      </c>
    </row>
    <row r="13" spans="2:19" s="242" customFormat="1" ht="44" thickTop="1" thickBot="1" x14ac:dyDescent="0.2">
      <c r="B13" s="269">
        <v>7</v>
      </c>
      <c r="C13" s="269" t="s">
        <v>769</v>
      </c>
      <c r="D13" s="269" t="s">
        <v>770</v>
      </c>
      <c r="E13" s="293">
        <v>5794822.1799999997</v>
      </c>
      <c r="F13" s="270"/>
      <c r="G13" s="270"/>
      <c r="H13" s="271"/>
      <c r="I13" s="271">
        <v>1</v>
      </c>
      <c r="J13" s="243"/>
    </row>
    <row r="14" spans="2:19" s="242" customFormat="1" ht="44" thickTop="1" thickBot="1" x14ac:dyDescent="0.2">
      <c r="B14" s="269">
        <v>8</v>
      </c>
      <c r="C14" s="269" t="s">
        <v>772</v>
      </c>
      <c r="D14" s="269" t="s">
        <v>773</v>
      </c>
      <c r="E14" s="293">
        <v>431544</v>
      </c>
      <c r="F14" s="269" t="s">
        <v>752</v>
      </c>
      <c r="G14" s="270"/>
      <c r="H14" s="291">
        <v>0</v>
      </c>
      <c r="I14" s="271">
        <v>1</v>
      </c>
      <c r="J14" s="243"/>
    </row>
    <row r="15" spans="2:19" s="242" customFormat="1" ht="30" thickTop="1" thickBot="1" x14ac:dyDescent="0.2">
      <c r="B15" s="269">
        <v>9</v>
      </c>
      <c r="C15" s="269" t="s">
        <v>774</v>
      </c>
      <c r="D15" s="269" t="s">
        <v>775</v>
      </c>
      <c r="E15" s="293">
        <v>41433169.789999999</v>
      </c>
      <c r="F15" s="269"/>
      <c r="G15" s="270"/>
      <c r="H15" s="291"/>
      <c r="I15" s="271">
        <v>0.37</v>
      </c>
      <c r="J15" s="243"/>
    </row>
    <row r="16" spans="2:19" s="242" customFormat="1" ht="30" thickTop="1" thickBot="1" x14ac:dyDescent="0.2">
      <c r="B16" s="269">
        <v>10</v>
      </c>
      <c r="C16" s="269" t="s">
        <v>836</v>
      </c>
      <c r="D16" s="269" t="s">
        <v>776</v>
      </c>
      <c r="E16" s="293">
        <v>12082013.1</v>
      </c>
      <c r="F16" s="269"/>
      <c r="G16" s="270"/>
      <c r="H16" s="291"/>
      <c r="I16" s="271"/>
      <c r="J16" s="243"/>
    </row>
    <row r="17" spans="2:11" s="242" customFormat="1" ht="30" thickTop="1" thickBot="1" x14ac:dyDescent="0.2">
      <c r="B17" s="269">
        <v>11</v>
      </c>
      <c r="C17" s="269" t="s">
        <v>795</v>
      </c>
      <c r="D17" s="269" t="s">
        <v>796</v>
      </c>
      <c r="E17" s="293">
        <v>10456246.40536</v>
      </c>
      <c r="F17" s="269" t="s">
        <v>752</v>
      </c>
      <c r="G17" s="276"/>
      <c r="H17" s="275">
        <v>1</v>
      </c>
      <c r="I17" s="274"/>
      <c r="J17" s="243"/>
    </row>
    <row r="18" spans="2:11" s="242" customFormat="1" ht="17.5" customHeight="1" thickTop="1" thickBot="1" x14ac:dyDescent="0.2">
      <c r="B18" s="269">
        <v>12</v>
      </c>
      <c r="C18" s="269" t="s">
        <v>813</v>
      </c>
      <c r="D18" s="269" t="s">
        <v>814</v>
      </c>
      <c r="E18" s="293">
        <v>7269639.9843968134</v>
      </c>
      <c r="F18" s="269" t="s">
        <v>752</v>
      </c>
      <c r="G18" s="276"/>
      <c r="H18" s="275">
        <v>1</v>
      </c>
      <c r="I18" s="274"/>
      <c r="J18" s="243"/>
    </row>
    <row r="19" spans="2:11" s="242" customFormat="1" ht="17.5" customHeight="1" thickTop="1" thickBot="1" x14ac:dyDescent="0.2">
      <c r="B19" s="269">
        <v>13</v>
      </c>
      <c r="C19" s="269" t="s">
        <v>817</v>
      </c>
      <c r="D19" s="269" t="s">
        <v>761</v>
      </c>
      <c r="E19" s="293">
        <v>5750977.9900000002</v>
      </c>
      <c r="F19" s="270" t="s">
        <v>752</v>
      </c>
      <c r="G19" s="270"/>
      <c r="H19" s="271">
        <v>0.89648490030127892</v>
      </c>
      <c r="I19" s="274"/>
      <c r="J19" s="243"/>
    </row>
    <row r="20" spans="2:11" s="242" customFormat="1" ht="30" thickTop="1" thickBot="1" x14ac:dyDescent="0.2">
      <c r="B20" s="269">
        <v>14</v>
      </c>
      <c r="C20" s="269" t="s">
        <v>817</v>
      </c>
      <c r="D20" s="269" t="s">
        <v>818</v>
      </c>
      <c r="E20" s="293">
        <v>2510126.5043039164</v>
      </c>
      <c r="F20" s="270" t="s">
        <v>752</v>
      </c>
      <c r="G20" s="270"/>
      <c r="H20" s="271">
        <v>0.67725947220394345</v>
      </c>
      <c r="I20" s="274"/>
      <c r="J20" s="243"/>
    </row>
    <row r="21" spans="2:11" s="242" customFormat="1" ht="44" thickTop="1" thickBot="1" x14ac:dyDescent="0.2">
      <c r="B21" s="269">
        <v>15</v>
      </c>
      <c r="C21" s="269" t="s">
        <v>759</v>
      </c>
      <c r="D21" s="269" t="s">
        <v>834</v>
      </c>
      <c r="E21" s="293">
        <v>9028121.8177727498</v>
      </c>
      <c r="F21" s="270" t="s">
        <v>752</v>
      </c>
      <c r="G21" s="270"/>
      <c r="H21" s="271">
        <v>0.68511339958553341</v>
      </c>
      <c r="I21" s="274"/>
      <c r="J21" s="243"/>
      <c r="K21" s="244"/>
    </row>
    <row r="22" spans="2:11" ht="25.25" customHeight="1" thickTop="1" thickBot="1" x14ac:dyDescent="0.2">
      <c r="D22" s="283" t="s">
        <v>777</v>
      </c>
      <c r="E22" s="292">
        <f>SUM(E7:E21)</f>
        <v>121864690.65056781</v>
      </c>
      <c r="K22" s="245"/>
    </row>
    <row r="23" spans="2:11" ht="13" thickTop="1" x14ac:dyDescent="0.15">
      <c r="E23" s="295"/>
    </row>
    <row r="24" spans="2:11" x14ac:dyDescent="0.15">
      <c r="E24" s="295"/>
    </row>
  </sheetData>
  <mergeCells count="10">
    <mergeCell ref="B2:H2"/>
    <mergeCell ref="B3:H3"/>
    <mergeCell ref="H5:H6"/>
    <mergeCell ref="K5:K6"/>
    <mergeCell ref="B5:B6"/>
    <mergeCell ref="C5:C6"/>
    <mergeCell ref="D5:D6"/>
    <mergeCell ref="E5:E6"/>
    <mergeCell ref="F5:F6"/>
    <mergeCell ref="G5:G6"/>
  </mergeCells>
  <pageMargins left="0.7" right="0.7" top="0.75" bottom="0.75" header="0.3" footer="0.3"/>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57DD-4FE9-4378-8052-9A52117E03BA}">
  <dimension ref="B1:S11"/>
  <sheetViews>
    <sheetView showGridLines="0" view="pageBreakPreview" topLeftCell="A3" zoomScaleNormal="100" zoomScaleSheetLayoutView="100" workbookViewId="0">
      <selection activeCell="K7" sqref="K7"/>
    </sheetView>
  </sheetViews>
  <sheetFormatPr baseColWidth="10" defaultColWidth="10.83203125" defaultRowHeight="12" x14ac:dyDescent="0.15"/>
  <cols>
    <col min="1" max="1" width="3.1640625" style="237" customWidth="1"/>
    <col min="2" max="2" width="5.1640625" style="237" customWidth="1"/>
    <col min="3" max="3" width="40.33203125" style="294" customWidth="1"/>
    <col min="4" max="4" width="57.1640625" style="237" customWidth="1"/>
    <col min="5" max="5" width="16.83203125" style="294" bestFit="1" customWidth="1"/>
    <col min="6" max="6" width="10.6640625" style="237" customWidth="1"/>
    <col min="7" max="7" width="19.1640625" style="237" customWidth="1"/>
    <col min="8" max="8" width="14.6640625" style="237" customWidth="1"/>
    <col min="9" max="9" width="5.83203125" style="237" hidden="1" customWidth="1"/>
    <col min="10" max="10" width="13.6640625" style="237" hidden="1" customWidth="1"/>
    <col min="11" max="11" width="73.83203125" style="237" customWidth="1"/>
    <col min="12" max="16384" width="10.83203125" style="237"/>
  </cols>
  <sheetData>
    <row r="1" spans="2:19" ht="16" x14ac:dyDescent="0.2">
      <c r="H1" s="281"/>
      <c r="I1" s="281"/>
      <c r="J1" s="281"/>
      <c r="K1" s="281"/>
      <c r="L1" s="281"/>
      <c r="M1" s="281"/>
      <c r="N1" s="281"/>
      <c r="O1" s="281"/>
      <c r="P1" s="281"/>
      <c r="Q1" s="281"/>
      <c r="R1" s="281"/>
      <c r="S1" s="281"/>
    </row>
    <row r="2" spans="2:19" ht="16" x14ac:dyDescent="0.2">
      <c r="B2" s="302" t="s">
        <v>832</v>
      </c>
      <c r="C2" s="302"/>
      <c r="D2" s="302"/>
      <c r="E2" s="302"/>
      <c r="F2" s="302"/>
      <c r="G2" s="302"/>
      <c r="H2" s="302"/>
      <c r="I2" s="280"/>
      <c r="J2" s="280"/>
      <c r="K2" s="280"/>
      <c r="L2" s="280"/>
      <c r="M2" s="280"/>
      <c r="N2" s="280"/>
      <c r="O2" s="280"/>
      <c r="P2" s="280"/>
      <c r="Q2" s="280"/>
      <c r="R2" s="280"/>
      <c r="S2" s="280"/>
    </row>
    <row r="3" spans="2:19" ht="16" x14ac:dyDescent="0.2">
      <c r="B3" s="303" t="s">
        <v>830</v>
      </c>
      <c r="C3" s="303"/>
      <c r="D3" s="303"/>
      <c r="E3" s="303"/>
      <c r="F3" s="303"/>
      <c r="G3" s="303"/>
      <c r="H3" s="303"/>
      <c r="I3" s="282"/>
      <c r="J3" s="282"/>
      <c r="K3" s="282"/>
      <c r="L3" s="282"/>
      <c r="M3" s="282"/>
      <c r="N3" s="282"/>
      <c r="O3" s="282"/>
      <c r="P3" s="282"/>
      <c r="Q3" s="282"/>
      <c r="R3" s="282"/>
      <c r="S3" s="282"/>
    </row>
    <row r="4" spans="2:19" ht="13" thickBot="1" x14ac:dyDescent="0.2">
      <c r="B4" s="238"/>
      <c r="C4" s="297"/>
    </row>
    <row r="5" spans="2:19" ht="40" thickTop="1" x14ac:dyDescent="0.15">
      <c r="B5" s="304" t="s">
        <v>742</v>
      </c>
      <c r="C5" s="304" t="s">
        <v>743</v>
      </c>
      <c r="D5" s="304" t="s">
        <v>744</v>
      </c>
      <c r="E5" s="304" t="s">
        <v>745</v>
      </c>
      <c r="F5" s="304" t="s">
        <v>746</v>
      </c>
      <c r="G5" s="304" t="s">
        <v>747</v>
      </c>
      <c r="H5" s="304" t="s">
        <v>748</v>
      </c>
      <c r="I5" s="272" t="s">
        <v>749</v>
      </c>
      <c r="J5" s="240" t="s">
        <v>778</v>
      </c>
      <c r="K5" s="304" t="s">
        <v>842</v>
      </c>
    </row>
    <row r="6" spans="2:19" ht="15" customHeight="1" thickBot="1" x14ac:dyDescent="0.2">
      <c r="B6" s="305"/>
      <c r="C6" s="305"/>
      <c r="D6" s="305"/>
      <c r="E6" s="305"/>
      <c r="F6" s="305"/>
      <c r="G6" s="305"/>
      <c r="H6" s="305"/>
      <c r="I6" s="272"/>
      <c r="J6" s="240"/>
      <c r="K6" s="305"/>
    </row>
    <row r="7" spans="2:19" s="242" customFormat="1" ht="282" thickTop="1" thickBot="1" x14ac:dyDescent="0.2">
      <c r="B7" s="269">
        <v>1</v>
      </c>
      <c r="C7" s="269" t="s">
        <v>786</v>
      </c>
      <c r="D7" s="269" t="s">
        <v>787</v>
      </c>
      <c r="E7" s="293">
        <v>16747311.297499999</v>
      </c>
      <c r="F7" s="269" t="s">
        <v>752</v>
      </c>
      <c r="G7" s="276"/>
      <c r="H7" s="275">
        <v>1</v>
      </c>
      <c r="I7" s="274"/>
      <c r="J7" s="243"/>
      <c r="K7" s="270" t="s">
        <v>839</v>
      </c>
    </row>
    <row r="8" spans="2:19" s="242" customFormat="1" ht="58" thickTop="1" thickBot="1" x14ac:dyDescent="0.2">
      <c r="B8" s="269">
        <v>2</v>
      </c>
      <c r="C8" s="269" t="s">
        <v>790</v>
      </c>
      <c r="D8" s="269" t="s">
        <v>791</v>
      </c>
      <c r="E8" s="293">
        <v>8624313.8254000004</v>
      </c>
      <c r="F8" s="277" t="s">
        <v>792</v>
      </c>
      <c r="G8" s="276"/>
      <c r="H8" s="278">
        <v>1</v>
      </c>
      <c r="I8" s="274"/>
      <c r="J8" s="243"/>
      <c r="K8" s="300" t="s">
        <v>487</v>
      </c>
    </row>
    <row r="9" spans="2:19" ht="25.25" customHeight="1" thickTop="1" thickBot="1" x14ac:dyDescent="0.2">
      <c r="D9" s="283" t="s">
        <v>777</v>
      </c>
      <c r="E9" s="292">
        <f>SUM(E7:E8)</f>
        <v>25371625.122900002</v>
      </c>
      <c r="K9" s="245"/>
    </row>
    <row r="10" spans="2:19" ht="13" thickTop="1" x14ac:dyDescent="0.15">
      <c r="E10" s="295"/>
    </row>
    <row r="11" spans="2:19" x14ac:dyDescent="0.15">
      <c r="E11" s="295"/>
    </row>
  </sheetData>
  <mergeCells count="10">
    <mergeCell ref="K5:K6"/>
    <mergeCell ref="B2:H2"/>
    <mergeCell ref="B3:H3"/>
    <mergeCell ref="B5:B6"/>
    <mergeCell ref="C5:C6"/>
    <mergeCell ref="D5:D6"/>
    <mergeCell ref="E5:E6"/>
    <mergeCell ref="F5:F6"/>
    <mergeCell ref="G5:G6"/>
    <mergeCell ref="H5:H6"/>
  </mergeCells>
  <pageMargins left="0.7" right="0.7" top="0.75" bottom="0.75" header="0.3" footer="0.3"/>
  <pageSetup paperSize="9" scale="5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435CF-71B9-41B3-ACA9-531B73DF611B}">
  <dimension ref="B1:S12"/>
  <sheetViews>
    <sheetView showGridLines="0" view="pageBreakPreview" zoomScaleNormal="100" zoomScaleSheetLayoutView="100" workbookViewId="0">
      <selection activeCell="D7" sqref="D7"/>
    </sheetView>
  </sheetViews>
  <sheetFormatPr baseColWidth="10" defaultColWidth="10.83203125" defaultRowHeight="12" x14ac:dyDescent="0.15"/>
  <cols>
    <col min="1" max="1" width="3.1640625" style="237" customWidth="1"/>
    <col min="2" max="2" width="5.1640625" style="237" customWidth="1"/>
    <col min="3" max="3" width="40.33203125" style="294" customWidth="1"/>
    <col min="4" max="4" width="57.1640625" style="237" customWidth="1"/>
    <col min="5" max="5" width="16.83203125" style="294" bestFit="1" customWidth="1"/>
    <col min="6" max="6" width="10.6640625" style="237" customWidth="1"/>
    <col min="7" max="7" width="19.1640625" style="237" customWidth="1"/>
    <col min="8" max="8" width="14.6640625" style="237" customWidth="1"/>
    <col min="9" max="9" width="5.83203125" style="237" hidden="1" customWidth="1"/>
    <col min="10" max="10" width="13.6640625" style="237" hidden="1" customWidth="1"/>
    <col min="11" max="11" width="15.1640625" style="237" bestFit="1" customWidth="1"/>
    <col min="12" max="16384" width="10.83203125" style="237"/>
  </cols>
  <sheetData>
    <row r="1" spans="2:19" ht="16" x14ac:dyDescent="0.2">
      <c r="H1" s="281"/>
      <c r="I1" s="281"/>
      <c r="J1" s="281"/>
      <c r="K1" s="281"/>
      <c r="L1" s="281"/>
      <c r="M1" s="281"/>
      <c r="N1" s="281"/>
      <c r="O1" s="281"/>
      <c r="P1" s="281"/>
      <c r="Q1" s="281"/>
      <c r="R1" s="281"/>
      <c r="S1" s="281"/>
    </row>
    <row r="2" spans="2:19" ht="16" x14ac:dyDescent="0.2">
      <c r="B2" s="302" t="s">
        <v>832</v>
      </c>
      <c r="C2" s="302"/>
      <c r="D2" s="302"/>
      <c r="E2" s="302"/>
      <c r="F2" s="302"/>
      <c r="G2" s="302"/>
      <c r="H2" s="302"/>
      <c r="I2" s="280"/>
      <c r="J2" s="280"/>
      <c r="K2" s="280"/>
      <c r="L2" s="280"/>
      <c r="M2" s="280"/>
      <c r="N2" s="280"/>
      <c r="O2" s="280"/>
      <c r="P2" s="280"/>
      <c r="Q2" s="280"/>
      <c r="R2" s="280"/>
      <c r="S2" s="280"/>
    </row>
    <row r="3" spans="2:19" ht="16" x14ac:dyDescent="0.2">
      <c r="B3" s="303" t="s">
        <v>830</v>
      </c>
      <c r="C3" s="303"/>
      <c r="D3" s="303"/>
      <c r="E3" s="303"/>
      <c r="F3" s="303"/>
      <c r="G3" s="303"/>
      <c r="H3" s="303"/>
      <c r="I3" s="282"/>
      <c r="J3" s="282"/>
      <c r="K3" s="282"/>
      <c r="L3" s="282"/>
      <c r="M3" s="282"/>
      <c r="N3" s="282"/>
      <c r="O3" s="282"/>
      <c r="P3" s="282"/>
      <c r="Q3" s="282"/>
      <c r="R3" s="282"/>
      <c r="S3" s="282"/>
    </row>
    <row r="4" spans="2:19" ht="13" thickBot="1" x14ac:dyDescent="0.2">
      <c r="B4" s="238"/>
      <c r="C4" s="297"/>
    </row>
    <row r="5" spans="2:19" ht="40" thickTop="1" x14ac:dyDescent="0.15">
      <c r="B5" s="304" t="s">
        <v>742</v>
      </c>
      <c r="C5" s="304" t="s">
        <v>743</v>
      </c>
      <c r="D5" s="304" t="s">
        <v>744</v>
      </c>
      <c r="E5" s="304" t="s">
        <v>745</v>
      </c>
      <c r="F5" s="304" t="s">
        <v>746</v>
      </c>
      <c r="G5" s="304" t="s">
        <v>747</v>
      </c>
      <c r="H5" s="304" t="s">
        <v>748</v>
      </c>
      <c r="I5" s="272" t="s">
        <v>749</v>
      </c>
      <c r="J5" s="240" t="s">
        <v>778</v>
      </c>
    </row>
    <row r="6" spans="2:19" ht="15" customHeight="1" thickBot="1" x14ac:dyDescent="0.2">
      <c r="B6" s="305"/>
      <c r="C6" s="305"/>
      <c r="D6" s="305"/>
      <c r="E6" s="305"/>
      <c r="F6" s="305"/>
      <c r="G6" s="305"/>
      <c r="H6" s="305"/>
      <c r="I6" s="272"/>
      <c r="J6" s="240"/>
    </row>
    <row r="7" spans="2:19" s="242" customFormat="1" ht="44" thickTop="1" thickBot="1" x14ac:dyDescent="0.2">
      <c r="B7" s="269">
        <v>1</v>
      </c>
      <c r="C7" s="269" t="s">
        <v>785</v>
      </c>
      <c r="D7" s="269" t="s">
        <v>835</v>
      </c>
      <c r="E7" s="293">
        <v>58706695.359999999</v>
      </c>
      <c r="F7" s="269" t="s">
        <v>752</v>
      </c>
      <c r="G7" s="276"/>
      <c r="H7" s="275">
        <v>1</v>
      </c>
      <c r="I7" s="274"/>
      <c r="J7" s="243"/>
    </row>
    <row r="8" spans="2:19" s="242" customFormat="1" ht="21" customHeight="1" thickTop="1" thickBot="1" x14ac:dyDescent="0.2">
      <c r="B8" s="269">
        <v>2</v>
      </c>
      <c r="C8" s="269" t="s">
        <v>750</v>
      </c>
      <c r="D8" s="269" t="s">
        <v>751</v>
      </c>
      <c r="E8" s="293">
        <v>4445141.0024499996</v>
      </c>
      <c r="F8" s="270" t="s">
        <v>752</v>
      </c>
      <c r="G8" s="270"/>
      <c r="H8" s="271">
        <v>1</v>
      </c>
      <c r="I8" s="271">
        <v>1</v>
      </c>
      <c r="J8" s="243"/>
    </row>
    <row r="9" spans="2:19" s="242" customFormat="1" ht="30" thickTop="1" thickBot="1" x14ac:dyDescent="0.2">
      <c r="B9" s="269">
        <v>3</v>
      </c>
      <c r="C9" s="269" t="s">
        <v>811</v>
      </c>
      <c r="D9" s="269" t="s">
        <v>812</v>
      </c>
      <c r="E9" s="293">
        <v>8624313.8254000004</v>
      </c>
      <c r="F9" s="269" t="s">
        <v>752</v>
      </c>
      <c r="G9" s="270"/>
      <c r="H9" s="275">
        <v>1</v>
      </c>
      <c r="I9" s="273"/>
      <c r="J9" s="241"/>
    </row>
    <row r="10" spans="2:19" ht="25.25" customHeight="1" thickTop="1" thickBot="1" x14ac:dyDescent="0.2">
      <c r="D10" s="283" t="s">
        <v>777</v>
      </c>
      <c r="E10" s="292">
        <f>SUM(E7:E9)</f>
        <v>71776150.187849998</v>
      </c>
      <c r="K10" s="245"/>
    </row>
    <row r="11" spans="2:19" ht="13" thickTop="1" x14ac:dyDescent="0.15">
      <c r="E11" s="295"/>
    </row>
    <row r="12" spans="2:19" x14ac:dyDescent="0.15">
      <c r="E12" s="295"/>
    </row>
  </sheetData>
  <mergeCells count="9">
    <mergeCell ref="B2:H2"/>
    <mergeCell ref="B3:H3"/>
    <mergeCell ref="B5:B6"/>
    <mergeCell ref="C5:C6"/>
    <mergeCell ref="D5:D6"/>
    <mergeCell ref="E5:E6"/>
    <mergeCell ref="F5:F6"/>
    <mergeCell ref="G5:G6"/>
    <mergeCell ref="H5:H6"/>
  </mergeCells>
  <conditionalFormatting sqref="D8">
    <cfRule type="cellIs" dxfId="3" priority="1" operator="equal">
      <formula>"Descripción"</formula>
    </cfRule>
    <cfRule type="cellIs" dxfId="2" priority="2" operator="equal">
      <formula>0</formula>
    </cfRule>
  </conditionalFormatting>
  <pageMargins left="0.7" right="0.7" top="0.75" bottom="0.75" header="0.3" footer="0.3"/>
  <pageSetup paperSize="9" scale="5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D7173-CF57-41F0-9595-9208AFCE8ADA}">
  <dimension ref="B1:S34"/>
  <sheetViews>
    <sheetView showGridLines="0" tabSelected="1" view="pageBreakPreview" topLeftCell="A18" zoomScaleNormal="100" zoomScaleSheetLayoutView="100" workbookViewId="0">
      <selection activeCell="D35" sqref="D35"/>
    </sheetView>
  </sheetViews>
  <sheetFormatPr baseColWidth="10" defaultColWidth="10.83203125" defaultRowHeight="12" x14ac:dyDescent="0.15"/>
  <cols>
    <col min="1" max="1" width="3.1640625" style="237" customWidth="1"/>
    <col min="2" max="2" width="5.1640625" style="237" customWidth="1"/>
    <col min="3" max="3" width="40.33203125" style="237" customWidth="1"/>
    <col min="4" max="4" width="57.1640625" style="237" customWidth="1"/>
    <col min="5" max="5" width="15.83203125" style="294" bestFit="1" customWidth="1"/>
    <col min="6" max="6" width="10.6640625" style="237" customWidth="1"/>
    <col min="7" max="7" width="19.1640625" style="237" customWidth="1"/>
    <col min="8" max="8" width="14.6640625" style="237" customWidth="1"/>
    <col min="9" max="9" width="5.83203125" style="237" hidden="1" customWidth="1"/>
    <col min="10" max="10" width="13.6640625" style="237" hidden="1" customWidth="1"/>
    <col min="11" max="11" width="15.1640625" style="237" bestFit="1" customWidth="1"/>
    <col min="12" max="16384" width="10.83203125" style="237"/>
  </cols>
  <sheetData>
    <row r="1" spans="2:19" ht="16" x14ac:dyDescent="0.2">
      <c r="H1" s="281"/>
      <c r="I1" s="281"/>
      <c r="J1" s="281"/>
      <c r="K1" s="281"/>
      <c r="L1" s="281"/>
      <c r="M1" s="281"/>
      <c r="N1" s="281"/>
      <c r="O1" s="281"/>
      <c r="P1" s="281"/>
      <c r="Q1" s="281"/>
      <c r="R1" s="281"/>
      <c r="S1" s="281"/>
    </row>
    <row r="2" spans="2:19" ht="16" x14ac:dyDescent="0.2">
      <c r="B2" s="302" t="s">
        <v>832</v>
      </c>
      <c r="C2" s="302"/>
      <c r="D2" s="302"/>
      <c r="E2" s="302"/>
      <c r="F2" s="302"/>
      <c r="G2" s="302"/>
      <c r="H2" s="302"/>
      <c r="I2" s="280"/>
      <c r="J2" s="280"/>
      <c r="K2" s="280"/>
      <c r="L2" s="280"/>
      <c r="M2" s="280"/>
      <c r="N2" s="280"/>
      <c r="O2" s="280"/>
      <c r="P2" s="280"/>
      <c r="Q2" s="280"/>
      <c r="R2" s="280"/>
      <c r="S2" s="280"/>
    </row>
    <row r="3" spans="2:19" ht="16" x14ac:dyDescent="0.2">
      <c r="B3" s="303" t="s">
        <v>830</v>
      </c>
      <c r="C3" s="303"/>
      <c r="D3" s="303"/>
      <c r="E3" s="303"/>
      <c r="F3" s="303"/>
      <c r="G3" s="303"/>
      <c r="H3" s="303"/>
      <c r="I3" s="282"/>
      <c r="J3" s="282"/>
      <c r="K3" s="282"/>
      <c r="L3" s="282"/>
      <c r="M3" s="282"/>
      <c r="N3" s="282"/>
      <c r="O3" s="282"/>
      <c r="P3" s="282"/>
      <c r="Q3" s="282"/>
      <c r="R3" s="282"/>
      <c r="S3" s="282"/>
    </row>
    <row r="4" spans="2:19" ht="13" thickBot="1" x14ac:dyDescent="0.2">
      <c r="B4" s="238"/>
      <c r="C4" s="239"/>
    </row>
    <row r="5" spans="2:19" ht="40" thickTop="1" x14ac:dyDescent="0.15">
      <c r="B5" s="304" t="s">
        <v>742</v>
      </c>
      <c r="C5" s="304" t="s">
        <v>743</v>
      </c>
      <c r="D5" s="304" t="s">
        <v>744</v>
      </c>
      <c r="E5" s="304" t="s">
        <v>745</v>
      </c>
      <c r="F5" s="304" t="s">
        <v>746</v>
      </c>
      <c r="G5" s="304" t="s">
        <v>747</v>
      </c>
      <c r="H5" s="304" t="s">
        <v>748</v>
      </c>
      <c r="I5" s="272" t="s">
        <v>749</v>
      </c>
      <c r="J5" s="240" t="s">
        <v>778</v>
      </c>
    </row>
    <row r="6" spans="2:19" ht="15" customHeight="1" thickBot="1" x14ac:dyDescent="0.2">
      <c r="B6" s="305"/>
      <c r="C6" s="305"/>
      <c r="D6" s="305"/>
      <c r="E6" s="305"/>
      <c r="F6" s="305"/>
      <c r="G6" s="305"/>
      <c r="H6" s="305"/>
      <c r="I6" s="272"/>
      <c r="J6" s="240"/>
    </row>
    <row r="7" spans="2:19" s="242" customFormat="1" ht="30" thickTop="1" thickBot="1" x14ac:dyDescent="0.2">
      <c r="B7" s="269">
        <v>1</v>
      </c>
      <c r="C7" s="269" t="s">
        <v>779</v>
      </c>
      <c r="D7" s="269" t="s">
        <v>780</v>
      </c>
      <c r="E7" s="296">
        <v>3629948.0146271996</v>
      </c>
      <c r="F7" s="269" t="s">
        <v>752</v>
      </c>
      <c r="G7" s="270"/>
      <c r="H7" s="275">
        <v>1</v>
      </c>
      <c r="I7" s="273"/>
      <c r="J7" s="241"/>
    </row>
    <row r="8" spans="2:19" s="242" customFormat="1" ht="30" thickTop="1" thickBot="1" x14ac:dyDescent="0.2">
      <c r="B8" s="269">
        <v>2</v>
      </c>
      <c r="C8" s="269" t="s">
        <v>781</v>
      </c>
      <c r="D8" s="269" t="s">
        <v>782</v>
      </c>
      <c r="E8" s="296">
        <f>150*300*13</f>
        <v>585000</v>
      </c>
      <c r="F8" s="269" t="s">
        <v>752</v>
      </c>
      <c r="G8" s="270"/>
      <c r="H8" s="275">
        <v>1</v>
      </c>
      <c r="I8" s="273"/>
      <c r="J8" s="241"/>
    </row>
    <row r="9" spans="2:19" s="242" customFormat="1" ht="30" thickTop="1" thickBot="1" x14ac:dyDescent="0.2">
      <c r="B9" s="269">
        <v>3</v>
      </c>
      <c r="C9" s="269" t="s">
        <v>783</v>
      </c>
      <c r="D9" s="269" t="s">
        <v>784</v>
      </c>
      <c r="E9" s="296">
        <v>61817553.850000001</v>
      </c>
      <c r="F9" s="269" t="s">
        <v>752</v>
      </c>
      <c r="G9" s="276"/>
      <c r="H9" s="275">
        <v>1</v>
      </c>
      <c r="I9" s="274"/>
      <c r="J9" s="243"/>
    </row>
    <row r="10" spans="2:19" s="242" customFormat="1" ht="16" thickTop="1" thickBot="1" x14ac:dyDescent="0.2">
      <c r="B10" s="269">
        <v>4</v>
      </c>
      <c r="C10" s="269" t="s">
        <v>797</v>
      </c>
      <c r="D10" s="269" t="s">
        <v>798</v>
      </c>
      <c r="E10" s="296">
        <v>930875.97979999997</v>
      </c>
      <c r="F10" s="269" t="s">
        <v>752</v>
      </c>
      <c r="G10" s="270"/>
      <c r="H10" s="275">
        <v>1</v>
      </c>
      <c r="I10" s="274"/>
      <c r="J10" s="243"/>
    </row>
    <row r="11" spans="2:19" s="242" customFormat="1" ht="16" thickTop="1" thickBot="1" x14ac:dyDescent="0.2">
      <c r="B11" s="269">
        <v>5</v>
      </c>
      <c r="C11" s="269" t="s">
        <v>799</v>
      </c>
      <c r="D11" s="269" t="s">
        <v>800</v>
      </c>
      <c r="E11" s="296">
        <v>210010.78813240002</v>
      </c>
      <c r="F11" s="269" t="s">
        <v>752</v>
      </c>
      <c r="G11" s="270"/>
      <c r="H11" s="275">
        <v>1</v>
      </c>
      <c r="I11" s="274"/>
      <c r="J11" s="243"/>
    </row>
    <row r="12" spans="2:19" s="242" customFormat="1" ht="16" thickTop="1" thickBot="1" x14ac:dyDescent="0.2">
      <c r="B12" s="269">
        <v>6</v>
      </c>
      <c r="C12" s="269" t="s">
        <v>801</v>
      </c>
      <c r="D12" s="269" t="s">
        <v>802</v>
      </c>
      <c r="E12" s="296">
        <f>181173.3389692+97053.08368</f>
        <v>278226.42264920002</v>
      </c>
      <c r="F12" s="269" t="s">
        <v>752</v>
      </c>
      <c r="G12" s="270"/>
      <c r="H12" s="275">
        <v>1</v>
      </c>
      <c r="I12" s="274"/>
      <c r="J12" s="243"/>
    </row>
    <row r="13" spans="2:19" s="242" customFormat="1" ht="16" thickTop="1" thickBot="1" x14ac:dyDescent="0.2">
      <c r="B13" s="269">
        <v>7</v>
      </c>
      <c r="C13" s="269" t="s">
        <v>803</v>
      </c>
      <c r="D13" s="269" t="s">
        <v>804</v>
      </c>
      <c r="E13" s="296">
        <v>142246.25039</v>
      </c>
      <c r="F13" s="269" t="s">
        <v>752</v>
      </c>
      <c r="G13" s="276"/>
      <c r="H13" s="275">
        <v>1</v>
      </c>
      <c r="I13" s="274"/>
      <c r="J13" s="243"/>
    </row>
    <row r="14" spans="2:19" s="242" customFormat="1" ht="16" thickTop="1" thickBot="1" x14ac:dyDescent="0.2">
      <c r="B14" s="269">
        <v>8</v>
      </c>
      <c r="C14" s="269" t="s">
        <v>805</v>
      </c>
      <c r="D14" s="269" t="s">
        <v>806</v>
      </c>
      <c r="E14" s="296">
        <v>45242.397210000003</v>
      </c>
      <c r="F14" s="269" t="s">
        <v>752</v>
      </c>
      <c r="G14" s="276"/>
      <c r="H14" s="275">
        <v>1</v>
      </c>
      <c r="I14" s="274"/>
      <c r="J14" s="243"/>
    </row>
    <row r="15" spans="2:19" s="242" customFormat="1" ht="30" thickTop="1" thickBot="1" x14ac:dyDescent="0.2">
      <c r="B15" s="269">
        <v>9</v>
      </c>
      <c r="C15" s="269" t="s">
        <v>807</v>
      </c>
      <c r="D15" s="269" t="s">
        <v>808</v>
      </c>
      <c r="E15" s="296">
        <v>871450.45765</v>
      </c>
      <c r="F15" s="269" t="s">
        <v>752</v>
      </c>
      <c r="G15" s="276"/>
      <c r="H15" s="275">
        <v>1</v>
      </c>
      <c r="I15" s="274"/>
      <c r="J15" s="243"/>
    </row>
    <row r="16" spans="2:19" s="242" customFormat="1" ht="16" thickTop="1" thickBot="1" x14ac:dyDescent="0.2">
      <c r="B16" s="269">
        <v>10</v>
      </c>
      <c r="C16" s="269" t="s">
        <v>809</v>
      </c>
      <c r="D16" s="269" t="s">
        <v>810</v>
      </c>
      <c r="E16" s="296">
        <v>45237.919999999998</v>
      </c>
      <c r="F16" s="269" t="s">
        <v>752</v>
      </c>
      <c r="G16" s="276"/>
      <c r="H16" s="275">
        <v>1</v>
      </c>
      <c r="I16" s="274"/>
      <c r="J16" s="243"/>
    </row>
    <row r="17" spans="2:11" s="242" customFormat="1" ht="44" thickTop="1" thickBot="1" x14ac:dyDescent="0.2">
      <c r="B17" s="269">
        <v>11</v>
      </c>
      <c r="C17" s="269" t="s">
        <v>753</v>
      </c>
      <c r="D17" s="269" t="s">
        <v>754</v>
      </c>
      <c r="E17" s="296">
        <v>675290.28</v>
      </c>
      <c r="F17" s="269" t="s">
        <v>752</v>
      </c>
      <c r="G17" s="276"/>
      <c r="H17" s="275">
        <v>1</v>
      </c>
      <c r="I17" s="274"/>
      <c r="J17" s="243"/>
    </row>
    <row r="18" spans="2:11" s="242" customFormat="1" ht="44" thickTop="1" thickBot="1" x14ac:dyDescent="0.2">
      <c r="B18" s="269">
        <v>12</v>
      </c>
      <c r="C18" s="286" t="s">
        <v>753</v>
      </c>
      <c r="D18" s="286" t="s">
        <v>754</v>
      </c>
      <c r="E18" s="296">
        <v>76623</v>
      </c>
      <c r="F18" s="287" t="s">
        <v>752</v>
      </c>
      <c r="G18" s="287"/>
      <c r="H18" s="288">
        <v>1</v>
      </c>
      <c r="I18" s="271">
        <v>1</v>
      </c>
      <c r="J18" s="243"/>
    </row>
    <row r="19" spans="2:11" s="242" customFormat="1" ht="30" thickTop="1" thickBot="1" x14ac:dyDescent="0.2">
      <c r="B19" s="269">
        <v>13</v>
      </c>
      <c r="C19" s="269" t="s">
        <v>755</v>
      </c>
      <c r="D19" s="269" t="s">
        <v>756</v>
      </c>
      <c r="E19" s="296">
        <v>459984</v>
      </c>
      <c r="F19" s="270" t="s">
        <v>752</v>
      </c>
      <c r="G19" s="270"/>
      <c r="H19" s="271">
        <v>1</v>
      </c>
      <c r="I19" s="284" t="e">
        <f>+SUM(#REF!)/E19</f>
        <v>#REF!</v>
      </c>
      <c r="J19" s="243"/>
    </row>
    <row r="20" spans="2:11" s="242" customFormat="1" ht="30" thickTop="1" thickBot="1" x14ac:dyDescent="0.2">
      <c r="B20" s="269">
        <v>14</v>
      </c>
      <c r="C20" s="269" t="s">
        <v>757</v>
      </c>
      <c r="D20" s="269" t="s">
        <v>758</v>
      </c>
      <c r="E20" s="296">
        <f>5179.86+42493</f>
        <v>47672.86</v>
      </c>
      <c r="F20" s="270" t="s">
        <v>752</v>
      </c>
      <c r="G20" s="270"/>
      <c r="H20" s="271">
        <v>1</v>
      </c>
      <c r="I20" s="271">
        <v>1</v>
      </c>
      <c r="J20" s="243"/>
    </row>
    <row r="21" spans="2:11" s="242" customFormat="1" ht="16" thickTop="1" thickBot="1" x14ac:dyDescent="0.2">
      <c r="B21" s="269">
        <v>15</v>
      </c>
      <c r="C21" s="269" t="s">
        <v>764</v>
      </c>
      <c r="D21" s="269" t="s">
        <v>765</v>
      </c>
      <c r="E21" s="296">
        <v>90283.81</v>
      </c>
      <c r="F21" s="270"/>
      <c r="G21" s="270"/>
      <c r="H21" s="285"/>
      <c r="I21" s="236">
        <v>1</v>
      </c>
      <c r="J21" s="243"/>
    </row>
    <row r="22" spans="2:11" s="242" customFormat="1" ht="16" thickTop="1" thickBot="1" x14ac:dyDescent="0.2">
      <c r="B22" s="269">
        <v>16</v>
      </c>
      <c r="C22" s="286" t="s">
        <v>766</v>
      </c>
      <c r="D22" s="286" t="s">
        <v>765</v>
      </c>
      <c r="E22" s="296">
        <v>47258.34</v>
      </c>
      <c r="F22" s="287" t="s">
        <v>752</v>
      </c>
      <c r="G22" s="287"/>
      <c r="H22" s="289">
        <v>1</v>
      </c>
      <c r="I22" s="236">
        <v>1</v>
      </c>
      <c r="J22" s="243"/>
    </row>
    <row r="23" spans="2:11" s="242" customFormat="1" ht="30" thickTop="1" thickBot="1" x14ac:dyDescent="0.2">
      <c r="B23" s="269">
        <v>17</v>
      </c>
      <c r="C23" s="269" t="s">
        <v>766</v>
      </c>
      <c r="D23" s="269" t="s">
        <v>815</v>
      </c>
      <c r="E23" s="296">
        <v>152994.39739999999</v>
      </c>
      <c r="F23" s="276" t="s">
        <v>752</v>
      </c>
      <c r="G23" s="276"/>
      <c r="H23" s="279">
        <v>1</v>
      </c>
      <c r="I23" s="274"/>
      <c r="J23" s="243"/>
    </row>
    <row r="24" spans="2:11" s="242" customFormat="1" ht="30" thickTop="1" thickBot="1" x14ac:dyDescent="0.2">
      <c r="B24" s="269">
        <v>18</v>
      </c>
      <c r="C24" s="269" t="s">
        <v>799</v>
      </c>
      <c r="D24" s="269" t="s">
        <v>816</v>
      </c>
      <c r="E24" s="296">
        <v>146554.79999999999</v>
      </c>
      <c r="F24" s="276" t="s">
        <v>752</v>
      </c>
      <c r="G24" s="276"/>
      <c r="H24" s="279">
        <v>1</v>
      </c>
      <c r="I24" s="274"/>
      <c r="J24" s="243"/>
    </row>
    <row r="25" spans="2:11" s="242" customFormat="1" ht="30" thickTop="1" thickBot="1" x14ac:dyDescent="0.2">
      <c r="B25" s="269">
        <v>19</v>
      </c>
      <c r="C25" s="269" t="s">
        <v>817</v>
      </c>
      <c r="D25" s="269" t="s">
        <v>819</v>
      </c>
      <c r="E25" s="296">
        <v>0</v>
      </c>
      <c r="F25" s="270" t="s">
        <v>752</v>
      </c>
      <c r="G25" s="270"/>
      <c r="H25" s="271">
        <v>0.94873511490823059</v>
      </c>
      <c r="I25" s="274"/>
      <c r="J25" s="243"/>
    </row>
    <row r="26" spans="2:11" s="242" customFormat="1" ht="30" thickTop="1" thickBot="1" x14ac:dyDescent="0.2">
      <c r="B26" s="269">
        <v>20</v>
      </c>
      <c r="C26" s="269" t="s">
        <v>820</v>
      </c>
      <c r="D26" s="269" t="s">
        <v>756</v>
      </c>
      <c r="E26" s="296">
        <v>0</v>
      </c>
      <c r="F26" s="270" t="s">
        <v>752</v>
      </c>
      <c r="G26" s="270"/>
      <c r="H26" s="271">
        <v>1</v>
      </c>
      <c r="I26" s="274"/>
      <c r="J26" s="243"/>
    </row>
    <row r="27" spans="2:11" s="242" customFormat="1" ht="30" thickTop="1" thickBot="1" x14ac:dyDescent="0.2">
      <c r="B27" s="269">
        <v>21</v>
      </c>
      <c r="C27" s="269" t="s">
        <v>821</v>
      </c>
      <c r="D27" s="269" t="s">
        <v>822</v>
      </c>
      <c r="E27" s="296">
        <v>39224</v>
      </c>
      <c r="F27" s="276" t="s">
        <v>752</v>
      </c>
      <c r="G27" s="276"/>
      <c r="H27" s="279">
        <v>1</v>
      </c>
      <c r="I27" s="274"/>
      <c r="J27" s="243"/>
    </row>
    <row r="28" spans="2:11" s="242" customFormat="1" ht="16" thickTop="1" thickBot="1" x14ac:dyDescent="0.2">
      <c r="B28" s="269">
        <v>22</v>
      </c>
      <c r="C28" s="268" t="s">
        <v>767</v>
      </c>
      <c r="D28" s="269" t="s">
        <v>768</v>
      </c>
      <c r="E28" s="296">
        <f>1920000+960000</f>
        <v>2880000</v>
      </c>
      <c r="F28" s="270"/>
      <c r="G28" s="270"/>
      <c r="H28" s="271"/>
      <c r="I28" s="290">
        <v>1</v>
      </c>
      <c r="J28" s="243"/>
    </row>
    <row r="29" spans="2:11" s="242" customFormat="1" ht="16" thickTop="1" thickBot="1" x14ac:dyDescent="0.2">
      <c r="B29" s="269">
        <v>23</v>
      </c>
      <c r="C29" s="268" t="s">
        <v>771</v>
      </c>
      <c r="D29" s="269" t="s">
        <v>765</v>
      </c>
      <c r="E29" s="296">
        <v>32606.93</v>
      </c>
      <c r="F29" s="270"/>
      <c r="G29" s="270"/>
      <c r="H29" s="271"/>
      <c r="I29" s="290">
        <v>1</v>
      </c>
      <c r="J29" s="243"/>
    </row>
    <row r="30" spans="2:11" s="242" customFormat="1" ht="16" thickTop="1" thickBot="1" x14ac:dyDescent="0.2">
      <c r="B30" s="269">
        <v>24</v>
      </c>
      <c r="C30" s="269" t="s">
        <v>823</v>
      </c>
      <c r="D30" s="269" t="s">
        <v>824</v>
      </c>
      <c r="E30" s="296">
        <v>34195.5</v>
      </c>
      <c r="F30" s="276" t="s">
        <v>752</v>
      </c>
      <c r="G30" s="276"/>
      <c r="H30" s="279">
        <v>1</v>
      </c>
      <c r="I30" s="274"/>
      <c r="J30" s="243"/>
    </row>
    <row r="31" spans="2:11" s="242" customFormat="1" ht="30" thickTop="1" thickBot="1" x14ac:dyDescent="0.2">
      <c r="B31" s="269">
        <v>25</v>
      </c>
      <c r="C31" s="269" t="s">
        <v>825</v>
      </c>
      <c r="D31" s="269" t="s">
        <v>826</v>
      </c>
      <c r="E31" s="296">
        <v>600990.64160000009</v>
      </c>
      <c r="F31" s="270" t="s">
        <v>752</v>
      </c>
      <c r="G31" s="270"/>
      <c r="H31" s="271">
        <v>1</v>
      </c>
      <c r="I31" s="273"/>
      <c r="J31" s="241"/>
    </row>
    <row r="32" spans="2:11" ht="25.25" customHeight="1" thickTop="1" thickBot="1" x14ac:dyDescent="0.2">
      <c r="D32" s="283" t="s">
        <v>777</v>
      </c>
      <c r="E32" s="292">
        <f>SUM(E7:E31)</f>
        <v>73839470.63945882</v>
      </c>
      <c r="K32" s="245"/>
    </row>
    <row r="33" spans="5:5" ht="13" thickTop="1" x14ac:dyDescent="0.15">
      <c r="E33" s="295"/>
    </row>
    <row r="34" spans="5:5" x14ac:dyDescent="0.15">
      <c r="E34" s="295"/>
    </row>
  </sheetData>
  <mergeCells count="9">
    <mergeCell ref="B2:H2"/>
    <mergeCell ref="B3:H3"/>
    <mergeCell ref="B5:B6"/>
    <mergeCell ref="C5:C6"/>
    <mergeCell ref="D5:D6"/>
    <mergeCell ref="E5:E6"/>
    <mergeCell ref="F5:F6"/>
    <mergeCell ref="G5:G6"/>
    <mergeCell ref="H5:H6"/>
  </mergeCells>
  <conditionalFormatting sqref="D18:D19">
    <cfRule type="cellIs" dxfId="1" priority="1" operator="equal">
      <formula>"Descripción"</formula>
    </cfRule>
    <cfRule type="cellIs" dxfId="0" priority="2" operator="equal">
      <formula>0</formula>
    </cfRule>
  </conditionalFormatting>
  <pageMargins left="0.7" right="0.7" top="0.75" bottom="0.75" header="0.3" footer="0.3"/>
  <pageSetup paperSize="9" scale="53"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X231"/>
  <sheetViews>
    <sheetView showGridLines="0" zoomScale="73" zoomScaleNormal="73" workbookViewId="0">
      <pane xSplit="8" ySplit="8" topLeftCell="L77" activePane="bottomRight" state="frozen"/>
      <selection pane="topRight" activeCell="H1" sqref="H1"/>
      <selection pane="bottomLeft" activeCell="A9" sqref="A9"/>
      <selection pane="bottomRight" activeCell="M79" sqref="M79"/>
    </sheetView>
  </sheetViews>
  <sheetFormatPr baseColWidth="10" defaultColWidth="11.5" defaultRowHeight="13" x14ac:dyDescent="0.15"/>
  <cols>
    <col min="1" max="1" width="2.6640625" customWidth="1"/>
    <col min="2" max="2" width="7.5" bestFit="1" customWidth="1"/>
    <col min="3" max="3" width="21.5" customWidth="1"/>
    <col min="4" max="4" width="23.5" style="1" hidden="1" customWidth="1"/>
    <col min="5" max="5" width="45.6640625" customWidth="1"/>
    <col min="6" max="6" width="28.1640625" customWidth="1"/>
    <col min="7" max="7" width="40.5" customWidth="1"/>
    <col min="8" max="8" width="22" customWidth="1"/>
    <col min="9" max="9" width="29.5" customWidth="1"/>
    <col min="10" max="10" width="21.5" customWidth="1"/>
    <col min="11" max="12" width="23.6640625" customWidth="1"/>
    <col min="13" max="13" width="24.1640625" customWidth="1"/>
    <col min="14" max="14" width="21.5" customWidth="1"/>
    <col min="15" max="16" width="21.33203125" style="1" customWidth="1"/>
    <col min="17" max="17" width="19.33203125" style="1" customWidth="1"/>
    <col min="18" max="18" width="19.5" customWidth="1"/>
    <col min="19" max="19" width="25.83203125" customWidth="1"/>
    <col min="20" max="20" width="21.5" customWidth="1"/>
    <col min="21" max="21" width="37.33203125" customWidth="1"/>
    <col min="22" max="22" width="32.83203125" customWidth="1"/>
    <col min="23" max="23" width="37" customWidth="1"/>
    <col min="24" max="24" width="30.6640625" customWidth="1"/>
  </cols>
  <sheetData>
    <row r="1" spans="2:24" ht="6.75" customHeight="1" x14ac:dyDescent="0.15"/>
    <row r="2" spans="2:24" ht="9" customHeight="1" thickBot="1" x14ac:dyDescent="0.2"/>
    <row r="3" spans="2:24" ht="99" customHeight="1" thickBot="1" x14ac:dyDescent="0.2">
      <c r="B3" s="2"/>
      <c r="C3" s="3"/>
      <c r="D3" s="4"/>
      <c r="E3" s="441" t="s">
        <v>0</v>
      </c>
      <c r="F3" s="441"/>
      <c r="G3" s="441"/>
      <c r="H3" s="441"/>
      <c r="I3" s="441"/>
      <c r="J3" s="441"/>
      <c r="K3" s="441"/>
      <c r="L3" s="441"/>
      <c r="M3" s="441"/>
      <c r="N3" s="441"/>
      <c r="O3" s="441"/>
      <c r="P3" s="441"/>
      <c r="Q3" s="441"/>
      <c r="R3" s="441"/>
      <c r="S3" s="441"/>
      <c r="T3" s="441"/>
      <c r="U3" s="441"/>
      <c r="V3" s="441"/>
      <c r="W3" s="441"/>
      <c r="X3" s="442"/>
    </row>
    <row r="4" spans="2:24" ht="11.25" customHeight="1" x14ac:dyDescent="0.2">
      <c r="E4" s="5"/>
      <c r="F4" s="5"/>
      <c r="H4" s="5"/>
      <c r="J4" s="5"/>
      <c r="M4" s="443" t="s">
        <v>1</v>
      </c>
      <c r="N4" s="445">
        <v>3.464</v>
      </c>
      <c r="O4" s="6"/>
    </row>
    <row r="5" spans="2:24" ht="11.25" customHeight="1" thickBot="1" x14ac:dyDescent="0.25">
      <c r="E5" s="5"/>
      <c r="F5" s="5"/>
      <c r="H5" s="5"/>
      <c r="J5" s="5"/>
      <c r="M5" s="444"/>
      <c r="N5" s="446"/>
      <c r="O5" s="6"/>
    </row>
    <row r="6" spans="2:24" ht="16.5" customHeight="1" x14ac:dyDescent="0.15">
      <c r="B6" s="447" t="s">
        <v>2</v>
      </c>
      <c r="C6" s="450" t="s">
        <v>3</v>
      </c>
      <c r="D6" s="451"/>
      <c r="E6" s="451"/>
      <c r="F6" s="451"/>
      <c r="G6" s="451"/>
      <c r="H6" s="452"/>
      <c r="I6" s="450" t="s">
        <v>4</v>
      </c>
      <c r="J6" s="452"/>
      <c r="K6" s="457" t="s">
        <v>5</v>
      </c>
      <c r="L6" s="457"/>
      <c r="M6" s="457"/>
      <c r="N6" s="457"/>
      <c r="O6" s="457"/>
      <c r="P6" s="457"/>
      <c r="Q6" s="458"/>
      <c r="R6" s="461" t="s">
        <v>6</v>
      </c>
      <c r="S6" s="462"/>
      <c r="T6" s="463"/>
      <c r="U6" s="461" t="s">
        <v>7</v>
      </c>
      <c r="V6" s="462"/>
      <c r="W6" s="462"/>
      <c r="X6" s="463"/>
    </row>
    <row r="7" spans="2:24" ht="16.5" customHeight="1" x14ac:dyDescent="0.15">
      <c r="B7" s="448"/>
      <c r="C7" s="453"/>
      <c r="D7" s="454"/>
      <c r="E7" s="455"/>
      <c r="F7" s="455"/>
      <c r="G7" s="455"/>
      <c r="H7" s="456"/>
      <c r="I7" s="453"/>
      <c r="J7" s="456"/>
      <c r="K7" s="459"/>
      <c r="L7" s="459"/>
      <c r="M7" s="459"/>
      <c r="N7" s="459"/>
      <c r="O7" s="459"/>
      <c r="P7" s="459"/>
      <c r="Q7" s="460"/>
      <c r="R7" s="464"/>
      <c r="S7" s="465"/>
      <c r="T7" s="466"/>
      <c r="U7" s="464"/>
      <c r="V7" s="465"/>
      <c r="W7" s="465"/>
      <c r="X7" s="466"/>
    </row>
    <row r="8" spans="2:24" ht="69.75" customHeight="1" thickBot="1" x14ac:dyDescent="0.2">
      <c r="B8" s="449"/>
      <c r="C8" s="7" t="s">
        <v>8</v>
      </c>
      <c r="D8" s="8" t="s">
        <v>9</v>
      </c>
      <c r="E8" s="9" t="s">
        <v>10</v>
      </c>
      <c r="F8" s="9" t="s">
        <v>11</v>
      </c>
      <c r="G8" s="9" t="s">
        <v>12</v>
      </c>
      <c r="H8" s="10" t="s">
        <v>13</v>
      </c>
      <c r="I8" s="11" t="s">
        <v>14</v>
      </c>
      <c r="J8" s="10" t="s">
        <v>15</v>
      </c>
      <c r="K8" s="12" t="s">
        <v>16</v>
      </c>
      <c r="L8" s="13" t="s">
        <v>17</v>
      </c>
      <c r="M8" s="13" t="s">
        <v>18</v>
      </c>
      <c r="N8" s="13" t="s">
        <v>19</v>
      </c>
      <c r="O8" s="14" t="s">
        <v>20</v>
      </c>
      <c r="P8" s="14" t="s">
        <v>21</v>
      </c>
      <c r="Q8" s="15" t="s">
        <v>22</v>
      </c>
      <c r="R8" s="16" t="s">
        <v>23</v>
      </c>
      <c r="S8" s="13" t="s">
        <v>24</v>
      </c>
      <c r="T8" s="17" t="s">
        <v>25</v>
      </c>
      <c r="U8" s="16" t="s">
        <v>23</v>
      </c>
      <c r="V8" s="9" t="s">
        <v>26</v>
      </c>
      <c r="W8" s="9" t="s">
        <v>27</v>
      </c>
      <c r="X8" s="17" t="s">
        <v>28</v>
      </c>
    </row>
    <row r="9" spans="2:24" ht="80" customHeight="1" x14ac:dyDescent="0.15">
      <c r="B9" s="471">
        <v>89</v>
      </c>
      <c r="C9" s="473" t="s">
        <v>29</v>
      </c>
      <c r="D9" s="474" t="s">
        <v>30</v>
      </c>
      <c r="E9" s="476" t="s">
        <v>31</v>
      </c>
      <c r="F9" s="431" t="s">
        <v>32</v>
      </c>
      <c r="G9" s="431" t="s">
        <v>33</v>
      </c>
      <c r="H9" s="438" t="s">
        <v>34</v>
      </c>
      <c r="I9" s="467" t="s">
        <v>35</v>
      </c>
      <c r="J9" s="438" t="s">
        <v>36</v>
      </c>
      <c r="K9" s="467" t="s">
        <v>37</v>
      </c>
      <c r="L9" s="431" t="s">
        <v>38</v>
      </c>
      <c r="M9" s="469">
        <f>(7316671.86/1.18)/N4</f>
        <v>1790002.7057971584</v>
      </c>
      <c r="N9" s="434" t="s">
        <v>39</v>
      </c>
      <c r="O9" s="436">
        <v>44247</v>
      </c>
      <c r="P9" s="440">
        <f>+O9+365</f>
        <v>44612</v>
      </c>
      <c r="Q9" s="432">
        <f>P9-O9+1</f>
        <v>366</v>
      </c>
      <c r="R9" s="396" t="s">
        <v>40</v>
      </c>
      <c r="S9" s="18" t="s">
        <v>41</v>
      </c>
      <c r="T9" s="19">
        <v>0.05</v>
      </c>
      <c r="U9" s="433" t="s">
        <v>42</v>
      </c>
      <c r="V9" s="431" t="s">
        <v>43</v>
      </c>
      <c r="W9" s="431" t="s">
        <v>43</v>
      </c>
      <c r="X9" s="438" t="s">
        <v>44</v>
      </c>
    </row>
    <row r="10" spans="2:24" ht="80" customHeight="1" x14ac:dyDescent="0.15">
      <c r="B10" s="472"/>
      <c r="C10" s="362"/>
      <c r="D10" s="475"/>
      <c r="E10" s="477"/>
      <c r="F10" s="388"/>
      <c r="G10" s="388"/>
      <c r="H10" s="439"/>
      <c r="I10" s="468"/>
      <c r="J10" s="439"/>
      <c r="K10" s="468"/>
      <c r="L10" s="388"/>
      <c r="M10" s="470"/>
      <c r="N10" s="435"/>
      <c r="O10" s="437"/>
      <c r="P10" s="342"/>
      <c r="Q10" s="344"/>
      <c r="R10" s="397"/>
      <c r="S10" s="18" t="s">
        <v>45</v>
      </c>
      <c r="T10" s="19">
        <v>0.95</v>
      </c>
      <c r="U10" s="395"/>
      <c r="V10" s="388"/>
      <c r="W10" s="388"/>
      <c r="X10" s="439"/>
    </row>
    <row r="11" spans="2:24" ht="69.75" customHeight="1" x14ac:dyDescent="0.15">
      <c r="B11" s="20">
        <v>88</v>
      </c>
      <c r="C11" s="362"/>
      <c r="D11" s="21" t="s">
        <v>46</v>
      </c>
      <c r="E11" s="22" t="s">
        <v>47</v>
      </c>
      <c r="F11" s="23" t="s">
        <v>48</v>
      </c>
      <c r="G11" s="23" t="s">
        <v>49</v>
      </c>
      <c r="H11" s="24" t="s">
        <v>50</v>
      </c>
      <c r="I11" s="25" t="s">
        <v>51</v>
      </c>
      <c r="J11" s="24" t="s">
        <v>52</v>
      </c>
      <c r="K11" s="26" t="s">
        <v>53</v>
      </c>
      <c r="L11" s="23" t="s">
        <v>54</v>
      </c>
      <c r="M11" s="27">
        <v>167971.26914387499</v>
      </c>
      <c r="N11" s="23" t="s">
        <v>43</v>
      </c>
      <c r="O11" s="28">
        <v>43872</v>
      </c>
      <c r="P11" s="28">
        <v>44051</v>
      </c>
      <c r="Q11" s="29" t="s">
        <v>55</v>
      </c>
      <c r="R11" s="30" t="s">
        <v>56</v>
      </c>
      <c r="S11" s="31" t="s">
        <v>46</v>
      </c>
      <c r="T11" s="32" t="s">
        <v>46</v>
      </c>
      <c r="U11" s="33" t="s">
        <v>57</v>
      </c>
      <c r="V11" s="23" t="s">
        <v>58</v>
      </c>
      <c r="W11" s="23" t="s">
        <v>59</v>
      </c>
      <c r="X11" s="34" t="s">
        <v>60</v>
      </c>
    </row>
    <row r="12" spans="2:24" s="35" customFormat="1" ht="213" customHeight="1" x14ac:dyDescent="0.15">
      <c r="B12" s="36">
        <v>28</v>
      </c>
      <c r="C12" s="362"/>
      <c r="D12" s="37" t="s">
        <v>61</v>
      </c>
      <c r="E12" s="38" t="s">
        <v>62</v>
      </c>
      <c r="F12" s="39" t="s">
        <v>32</v>
      </c>
      <c r="G12" s="39" t="s">
        <v>63</v>
      </c>
      <c r="H12" s="40" t="s">
        <v>50</v>
      </c>
      <c r="I12" s="41" t="s">
        <v>64</v>
      </c>
      <c r="J12" s="40" t="s">
        <v>65</v>
      </c>
      <c r="K12" s="42" t="s">
        <v>37</v>
      </c>
      <c r="L12" s="43" t="s">
        <v>43</v>
      </c>
      <c r="M12" s="44" t="s">
        <v>43</v>
      </c>
      <c r="N12" s="44" t="s">
        <v>43</v>
      </c>
      <c r="O12" s="45">
        <v>42663</v>
      </c>
      <c r="P12" s="45" t="s">
        <v>43</v>
      </c>
      <c r="Q12" s="45" t="s">
        <v>43</v>
      </c>
      <c r="R12" s="46" t="s">
        <v>56</v>
      </c>
      <c r="S12" s="39" t="s">
        <v>46</v>
      </c>
      <c r="T12" s="40" t="s">
        <v>46</v>
      </c>
      <c r="U12" s="47" t="s">
        <v>66</v>
      </c>
      <c r="V12" s="48" t="s">
        <v>67</v>
      </c>
      <c r="W12" s="49"/>
      <c r="X12" s="50"/>
    </row>
    <row r="13" spans="2:24" s="35" customFormat="1" ht="102.75" customHeight="1" x14ac:dyDescent="0.15">
      <c r="B13" s="51">
        <v>26</v>
      </c>
      <c r="C13" s="362"/>
      <c r="D13" s="37" t="s">
        <v>68</v>
      </c>
      <c r="E13" s="52" t="s">
        <v>69</v>
      </c>
      <c r="F13" s="31" t="s">
        <v>70</v>
      </c>
      <c r="G13" s="31" t="s">
        <v>71</v>
      </c>
      <c r="H13" s="32" t="s">
        <v>34</v>
      </c>
      <c r="I13" s="53" t="s">
        <v>72</v>
      </c>
      <c r="J13" s="32" t="s">
        <v>73</v>
      </c>
      <c r="K13" s="54" t="s">
        <v>74</v>
      </c>
      <c r="L13" s="23" t="s">
        <v>38</v>
      </c>
      <c r="M13" s="55">
        <f>(1048938/1.18)/N4</f>
        <v>256619.66179981994</v>
      </c>
      <c r="N13" s="55">
        <f>(1371603.46/1.18)/N4</f>
        <v>335558.83763259876</v>
      </c>
      <c r="O13" s="56">
        <v>41908</v>
      </c>
      <c r="P13" s="56">
        <v>42132</v>
      </c>
      <c r="Q13" s="29">
        <f>P13-O13+1</f>
        <v>225</v>
      </c>
      <c r="R13" s="30" t="s">
        <v>56</v>
      </c>
      <c r="S13" s="31" t="s">
        <v>46</v>
      </c>
      <c r="T13" s="32" t="s">
        <v>46</v>
      </c>
      <c r="U13" s="57" t="s">
        <v>75</v>
      </c>
      <c r="V13" s="58" t="s">
        <v>76</v>
      </c>
      <c r="W13" s="59"/>
      <c r="X13" s="60"/>
    </row>
    <row r="14" spans="2:24" s="35" customFormat="1" ht="120" customHeight="1" x14ac:dyDescent="0.15">
      <c r="B14" s="36">
        <v>27</v>
      </c>
      <c r="C14" s="363"/>
      <c r="D14" s="37" t="s">
        <v>68</v>
      </c>
      <c r="E14" s="38" t="s">
        <v>77</v>
      </c>
      <c r="F14" s="39" t="s">
        <v>70</v>
      </c>
      <c r="G14" s="39" t="s">
        <v>78</v>
      </c>
      <c r="H14" s="40" t="s">
        <v>34</v>
      </c>
      <c r="I14" s="41" t="s">
        <v>79</v>
      </c>
      <c r="J14" s="40" t="s">
        <v>80</v>
      </c>
      <c r="K14" s="61" t="s">
        <v>74</v>
      </c>
      <c r="L14" s="23" t="s">
        <v>38</v>
      </c>
      <c r="M14" s="62">
        <f>(1294447/1.18)/N4</f>
        <v>316682.73182761186</v>
      </c>
      <c r="N14" s="62">
        <f>(1736663.13/1.18)/N4</f>
        <v>424869.63488863665</v>
      </c>
      <c r="O14" s="56">
        <v>41908</v>
      </c>
      <c r="P14" s="45">
        <v>42132</v>
      </c>
      <c r="Q14" s="63">
        <f>P14-O14+1</f>
        <v>225</v>
      </c>
      <c r="R14" s="46" t="s">
        <v>56</v>
      </c>
      <c r="S14" s="39" t="s">
        <v>46</v>
      </c>
      <c r="T14" s="40" t="s">
        <v>46</v>
      </c>
      <c r="U14" s="47" t="s">
        <v>75</v>
      </c>
      <c r="V14" s="48" t="s">
        <v>76</v>
      </c>
      <c r="W14" s="49"/>
      <c r="X14" s="50"/>
    </row>
    <row r="15" spans="2:24" s="35" customFormat="1" ht="85" x14ac:dyDescent="0.15">
      <c r="B15" s="36">
        <v>25</v>
      </c>
      <c r="C15" s="361" t="s">
        <v>81</v>
      </c>
      <c r="D15" s="64" t="s">
        <v>46</v>
      </c>
      <c r="E15" s="38" t="s">
        <v>82</v>
      </c>
      <c r="F15" s="39" t="s">
        <v>83</v>
      </c>
      <c r="G15" s="39" t="s">
        <v>83</v>
      </c>
      <c r="H15" s="40" t="s">
        <v>84</v>
      </c>
      <c r="I15" s="53" t="s">
        <v>85</v>
      </c>
      <c r="J15" s="40" t="s">
        <v>86</v>
      </c>
      <c r="K15" s="42" t="s">
        <v>53</v>
      </c>
      <c r="L15" s="43" t="s">
        <v>38</v>
      </c>
      <c r="M15" s="62">
        <f>50621509.9/N4</f>
        <v>14613599.855658198</v>
      </c>
      <c r="N15" s="62">
        <f>62503479.13/N4</f>
        <v>18043729.540993072</v>
      </c>
      <c r="O15" s="56">
        <v>42461</v>
      </c>
      <c r="P15" s="56">
        <v>43152</v>
      </c>
      <c r="Q15" s="63">
        <f>P15-O15+1</f>
        <v>692</v>
      </c>
      <c r="R15" s="30" t="s">
        <v>56</v>
      </c>
      <c r="S15" s="39" t="s">
        <v>46</v>
      </c>
      <c r="T15" s="40" t="s">
        <v>46</v>
      </c>
      <c r="U15" s="47" t="s">
        <v>87</v>
      </c>
      <c r="V15" s="48" t="s">
        <v>88</v>
      </c>
      <c r="W15" s="49"/>
      <c r="X15" s="50"/>
    </row>
    <row r="16" spans="2:24" s="35" customFormat="1" ht="183" customHeight="1" x14ac:dyDescent="0.15">
      <c r="B16" s="364">
        <v>24</v>
      </c>
      <c r="C16" s="362"/>
      <c r="D16" s="353" t="s">
        <v>46</v>
      </c>
      <c r="E16" s="355" t="s">
        <v>89</v>
      </c>
      <c r="F16" s="366" t="s">
        <v>90</v>
      </c>
      <c r="G16" s="39" t="s">
        <v>91</v>
      </c>
      <c r="H16" s="357" t="s">
        <v>92</v>
      </c>
      <c r="I16" s="41" t="s">
        <v>93</v>
      </c>
      <c r="J16" s="357" t="s">
        <v>94</v>
      </c>
      <c r="K16" s="42" t="s">
        <v>53</v>
      </c>
      <c r="L16" s="43" t="s">
        <v>38</v>
      </c>
      <c r="M16" s="55">
        <f>24700000/N4</f>
        <v>7130484.9884526562</v>
      </c>
      <c r="N16" s="427">
        <f>M16+M17+M18+M19</f>
        <v>11766603.562355658</v>
      </c>
      <c r="O16" s="56">
        <v>41852</v>
      </c>
      <c r="P16" s="45">
        <v>42216</v>
      </c>
      <c r="Q16" s="343">
        <f>P19-O16+1</f>
        <v>578</v>
      </c>
      <c r="R16" s="30" t="s">
        <v>56</v>
      </c>
      <c r="S16" s="39" t="s">
        <v>46</v>
      </c>
      <c r="T16" s="40" t="s">
        <v>46</v>
      </c>
      <c r="U16" s="47" t="s">
        <v>95</v>
      </c>
      <c r="V16" s="48" t="s">
        <v>96</v>
      </c>
      <c r="W16" s="49"/>
      <c r="X16" s="50"/>
    </row>
    <row r="17" spans="2:24" s="35" customFormat="1" ht="111" customHeight="1" x14ac:dyDescent="0.15">
      <c r="B17" s="408"/>
      <c r="C17" s="362"/>
      <c r="D17" s="369"/>
      <c r="E17" s="370"/>
      <c r="F17" s="409"/>
      <c r="G17" s="39" t="s">
        <v>97</v>
      </c>
      <c r="H17" s="389"/>
      <c r="I17" s="41" t="s">
        <v>98</v>
      </c>
      <c r="J17" s="389"/>
      <c r="K17" s="42" t="s">
        <v>53</v>
      </c>
      <c r="L17" s="43" t="s">
        <v>38</v>
      </c>
      <c r="M17" s="55">
        <f>2470000/N4</f>
        <v>713048.4988452656</v>
      </c>
      <c r="N17" s="427"/>
      <c r="O17" s="56">
        <v>42217</v>
      </c>
      <c r="P17" s="45">
        <v>42247</v>
      </c>
      <c r="Q17" s="418"/>
      <c r="R17" s="30" t="s">
        <v>56</v>
      </c>
      <c r="S17" s="39" t="s">
        <v>46</v>
      </c>
      <c r="T17" s="40" t="s">
        <v>46</v>
      </c>
      <c r="U17" s="47" t="s">
        <v>99</v>
      </c>
      <c r="V17" s="48" t="s">
        <v>100</v>
      </c>
      <c r="W17" s="49"/>
      <c r="X17" s="50"/>
    </row>
    <row r="18" spans="2:24" s="35" customFormat="1" ht="34" x14ac:dyDescent="0.15">
      <c r="B18" s="408"/>
      <c r="C18" s="362"/>
      <c r="D18" s="369"/>
      <c r="E18" s="370"/>
      <c r="F18" s="409"/>
      <c r="G18" s="31" t="s">
        <v>46</v>
      </c>
      <c r="H18" s="389"/>
      <c r="I18" s="41" t="s">
        <v>101</v>
      </c>
      <c r="J18" s="389"/>
      <c r="K18" s="42" t="s">
        <v>53</v>
      </c>
      <c r="L18" s="43" t="s">
        <v>38</v>
      </c>
      <c r="M18" s="55">
        <v>0</v>
      </c>
      <c r="N18" s="427"/>
      <c r="O18" s="65">
        <v>42248</v>
      </c>
      <c r="P18" s="45">
        <v>42277</v>
      </c>
      <c r="Q18" s="418"/>
      <c r="R18" s="30" t="s">
        <v>56</v>
      </c>
      <c r="S18" s="39" t="s">
        <v>46</v>
      </c>
      <c r="T18" s="40" t="s">
        <v>46</v>
      </c>
      <c r="U18" s="47" t="s">
        <v>99</v>
      </c>
      <c r="V18" s="48" t="s">
        <v>100</v>
      </c>
      <c r="W18" s="49"/>
      <c r="X18" s="50"/>
    </row>
    <row r="19" spans="2:24" s="35" customFormat="1" ht="34" x14ac:dyDescent="0.15">
      <c r="B19" s="365"/>
      <c r="C19" s="363"/>
      <c r="D19" s="354"/>
      <c r="E19" s="356"/>
      <c r="F19" s="367"/>
      <c r="G19" s="31" t="s">
        <v>46</v>
      </c>
      <c r="H19" s="358"/>
      <c r="I19" s="42" t="s">
        <v>102</v>
      </c>
      <c r="J19" s="358"/>
      <c r="K19" s="42" t="s">
        <v>53</v>
      </c>
      <c r="L19" s="43" t="s">
        <v>38</v>
      </c>
      <c r="M19" s="55">
        <f>13589514.74/N4</f>
        <v>3923070.0750577366</v>
      </c>
      <c r="N19" s="427"/>
      <c r="O19" s="66">
        <v>42278</v>
      </c>
      <c r="P19" s="45">
        <v>42429</v>
      </c>
      <c r="Q19" s="344"/>
      <c r="R19" s="30"/>
      <c r="S19" s="39"/>
      <c r="T19" s="40"/>
      <c r="U19" s="47"/>
      <c r="V19" s="48"/>
      <c r="W19" s="49"/>
      <c r="X19" s="50"/>
    </row>
    <row r="20" spans="2:24" s="35" customFormat="1" ht="71.25" customHeight="1" x14ac:dyDescent="0.15">
      <c r="B20" s="51">
        <v>57</v>
      </c>
      <c r="C20" s="67" t="s">
        <v>103</v>
      </c>
      <c r="D20" s="68" t="s">
        <v>46</v>
      </c>
      <c r="E20" s="52" t="s">
        <v>104</v>
      </c>
      <c r="F20" s="31" t="s">
        <v>105</v>
      </c>
      <c r="G20" s="31" t="s">
        <v>105</v>
      </c>
      <c r="H20" s="69" t="s">
        <v>106</v>
      </c>
      <c r="I20" s="53" t="s">
        <v>107</v>
      </c>
      <c r="J20" s="70" t="s">
        <v>108</v>
      </c>
      <c r="K20" s="71" t="s">
        <v>43</v>
      </c>
      <c r="L20" s="43" t="s">
        <v>54</v>
      </c>
      <c r="M20" s="72">
        <f>228922.35/1.18</f>
        <v>194001.99152542374</v>
      </c>
      <c r="N20" s="72" t="s">
        <v>43</v>
      </c>
      <c r="O20" s="66">
        <v>40857</v>
      </c>
      <c r="P20" s="45">
        <v>40918</v>
      </c>
      <c r="Q20" s="63">
        <f>P20-O20+1</f>
        <v>62</v>
      </c>
      <c r="R20" s="30" t="s">
        <v>56</v>
      </c>
      <c r="S20" s="39" t="s">
        <v>46</v>
      </c>
      <c r="T20" s="40" t="s">
        <v>46</v>
      </c>
      <c r="U20" s="47" t="s">
        <v>109</v>
      </c>
      <c r="V20" s="48" t="s">
        <v>110</v>
      </c>
      <c r="W20" s="49"/>
      <c r="X20" s="50"/>
    </row>
    <row r="21" spans="2:24" s="35" customFormat="1" ht="105" customHeight="1" x14ac:dyDescent="0.15">
      <c r="B21" s="36">
        <v>30</v>
      </c>
      <c r="C21" s="361" t="s">
        <v>111</v>
      </c>
      <c r="D21" s="64" t="s">
        <v>46</v>
      </c>
      <c r="E21" s="38" t="s">
        <v>112</v>
      </c>
      <c r="F21" s="39" t="s">
        <v>90</v>
      </c>
      <c r="G21" s="39" t="s">
        <v>90</v>
      </c>
      <c r="H21" s="40" t="s">
        <v>113</v>
      </c>
      <c r="I21" s="41" t="s">
        <v>107</v>
      </c>
      <c r="J21" s="40" t="s">
        <v>114</v>
      </c>
      <c r="K21" s="71" t="s">
        <v>43</v>
      </c>
      <c r="L21" s="43" t="s">
        <v>43</v>
      </c>
      <c r="M21" s="44" t="s">
        <v>43</v>
      </c>
      <c r="N21" s="44" t="s">
        <v>43</v>
      </c>
      <c r="O21" s="56">
        <v>40648</v>
      </c>
      <c r="P21" s="56">
        <v>40877</v>
      </c>
      <c r="Q21" s="63">
        <f>P21-O21+1</f>
        <v>230</v>
      </c>
      <c r="R21" s="30" t="s">
        <v>56</v>
      </c>
      <c r="S21" s="39" t="s">
        <v>46</v>
      </c>
      <c r="T21" s="40" t="s">
        <v>46</v>
      </c>
      <c r="U21" s="47" t="s">
        <v>115</v>
      </c>
      <c r="V21" s="48" t="s">
        <v>116</v>
      </c>
      <c r="W21" s="49"/>
      <c r="X21" s="50"/>
    </row>
    <row r="22" spans="2:24" s="35" customFormat="1" ht="45" customHeight="1" x14ac:dyDescent="0.15">
      <c r="B22" s="36">
        <v>29</v>
      </c>
      <c r="C22" s="362"/>
      <c r="D22" s="64" t="s">
        <v>46</v>
      </c>
      <c r="E22" s="38" t="s">
        <v>117</v>
      </c>
      <c r="F22" s="39" t="s">
        <v>48</v>
      </c>
      <c r="G22" s="39" t="s">
        <v>48</v>
      </c>
      <c r="H22" s="40" t="s">
        <v>118</v>
      </c>
      <c r="I22" s="41" t="s">
        <v>107</v>
      </c>
      <c r="J22" s="40" t="s">
        <v>119</v>
      </c>
      <c r="K22" s="71" t="s">
        <v>43</v>
      </c>
      <c r="L22" s="43" t="s">
        <v>43</v>
      </c>
      <c r="M22" s="44" t="s">
        <v>43</v>
      </c>
      <c r="N22" s="44" t="s">
        <v>43</v>
      </c>
      <c r="O22" s="56">
        <v>40526</v>
      </c>
      <c r="P22" s="56">
        <v>40890</v>
      </c>
      <c r="Q22" s="63">
        <f>P22-O22+1</f>
        <v>365</v>
      </c>
      <c r="R22" s="30" t="s">
        <v>56</v>
      </c>
      <c r="S22" s="39" t="s">
        <v>46</v>
      </c>
      <c r="T22" s="40" t="s">
        <v>46</v>
      </c>
      <c r="U22" s="47" t="s">
        <v>120</v>
      </c>
      <c r="V22" s="48" t="s">
        <v>116</v>
      </c>
      <c r="W22" s="49"/>
      <c r="X22" s="50"/>
    </row>
    <row r="23" spans="2:24" ht="67" customHeight="1" x14ac:dyDescent="0.15">
      <c r="B23" s="345">
        <v>13</v>
      </c>
      <c r="C23" s="362"/>
      <c r="D23" s="353" t="s">
        <v>121</v>
      </c>
      <c r="E23" s="355" t="s">
        <v>122</v>
      </c>
      <c r="F23" s="349" t="s">
        <v>32</v>
      </c>
      <c r="G23" s="428" t="s">
        <v>123</v>
      </c>
      <c r="H23" s="357" t="s">
        <v>124</v>
      </c>
      <c r="I23" s="71" t="s">
        <v>125</v>
      </c>
      <c r="J23" s="357" t="s">
        <v>126</v>
      </c>
      <c r="K23" s="42" t="s">
        <v>53</v>
      </c>
      <c r="L23" s="43" t="s">
        <v>54</v>
      </c>
      <c r="M23" s="44">
        <v>2493935.08</v>
      </c>
      <c r="N23" s="339">
        <f>M23+M24+M25+M26</f>
        <v>2381143.176</v>
      </c>
      <c r="O23" s="56">
        <v>40322</v>
      </c>
      <c r="P23" s="56" t="s">
        <v>43</v>
      </c>
      <c r="Q23" s="343">
        <f>P26-O23+1</f>
        <v>211</v>
      </c>
      <c r="R23" s="30" t="s">
        <v>56</v>
      </c>
      <c r="S23" s="39" t="s">
        <v>46</v>
      </c>
      <c r="T23" s="40" t="s">
        <v>46</v>
      </c>
      <c r="U23" s="47" t="s">
        <v>120</v>
      </c>
      <c r="V23" s="48" t="s">
        <v>116</v>
      </c>
      <c r="W23" s="49"/>
      <c r="X23" s="50"/>
    </row>
    <row r="24" spans="2:24" ht="67" customHeight="1" x14ac:dyDescent="0.15">
      <c r="B24" s="368"/>
      <c r="C24" s="362"/>
      <c r="D24" s="369"/>
      <c r="E24" s="370"/>
      <c r="F24" s="371"/>
      <c r="G24" s="429"/>
      <c r="H24" s="389"/>
      <c r="I24" s="42" t="s">
        <v>127</v>
      </c>
      <c r="J24" s="389"/>
      <c r="K24" s="42" t="s">
        <v>53</v>
      </c>
      <c r="L24" s="43" t="s">
        <v>54</v>
      </c>
      <c r="M24" s="44">
        <v>24791.360000000001</v>
      </c>
      <c r="N24" s="417"/>
      <c r="O24" s="56" t="s">
        <v>43</v>
      </c>
      <c r="P24" s="56" t="s">
        <v>43</v>
      </c>
      <c r="Q24" s="418"/>
      <c r="R24" s="30" t="s">
        <v>56</v>
      </c>
      <c r="S24" s="39" t="s">
        <v>46</v>
      </c>
      <c r="T24" s="40" t="s">
        <v>46</v>
      </c>
      <c r="U24" s="47" t="s">
        <v>43</v>
      </c>
      <c r="V24" s="48" t="s">
        <v>43</v>
      </c>
      <c r="W24" s="49"/>
      <c r="X24" s="50"/>
    </row>
    <row r="25" spans="2:24" ht="67" customHeight="1" x14ac:dyDescent="0.15">
      <c r="B25" s="368"/>
      <c r="C25" s="362"/>
      <c r="D25" s="369"/>
      <c r="E25" s="370"/>
      <c r="F25" s="371"/>
      <c r="G25" s="429"/>
      <c r="H25" s="389"/>
      <c r="I25" s="42" t="s">
        <v>127</v>
      </c>
      <c r="J25" s="389"/>
      <c r="K25" s="42" t="s">
        <v>53</v>
      </c>
      <c r="L25" s="43" t="s">
        <v>54</v>
      </c>
      <c r="M25" s="44">
        <v>142191.19</v>
      </c>
      <c r="N25" s="417"/>
      <c r="O25" s="56" t="s">
        <v>43</v>
      </c>
      <c r="P25" s="56" t="s">
        <v>43</v>
      </c>
      <c r="Q25" s="418"/>
      <c r="R25" s="30" t="s">
        <v>56</v>
      </c>
      <c r="S25" s="39" t="s">
        <v>46</v>
      </c>
      <c r="T25" s="40" t="s">
        <v>46</v>
      </c>
      <c r="U25" s="47" t="s">
        <v>43</v>
      </c>
      <c r="V25" s="48" t="s">
        <v>43</v>
      </c>
      <c r="W25" s="49"/>
      <c r="X25" s="50"/>
    </row>
    <row r="26" spans="2:24" ht="67" customHeight="1" x14ac:dyDescent="0.15">
      <c r="B26" s="346"/>
      <c r="C26" s="363"/>
      <c r="D26" s="354"/>
      <c r="E26" s="356"/>
      <c r="F26" s="350"/>
      <c r="G26" s="430"/>
      <c r="H26" s="358"/>
      <c r="I26" s="42" t="s">
        <v>127</v>
      </c>
      <c r="J26" s="358"/>
      <c r="K26" s="42" t="s">
        <v>53</v>
      </c>
      <c r="L26" s="43" t="s">
        <v>54</v>
      </c>
      <c r="M26" s="44">
        <v>-279774.45400000003</v>
      </c>
      <c r="N26" s="340"/>
      <c r="O26" s="56" t="s">
        <v>43</v>
      </c>
      <c r="P26" s="56">
        <v>40532</v>
      </c>
      <c r="Q26" s="344"/>
      <c r="R26" s="30" t="s">
        <v>56</v>
      </c>
      <c r="S26" s="39" t="s">
        <v>46</v>
      </c>
      <c r="T26" s="40" t="s">
        <v>46</v>
      </c>
      <c r="U26" s="47" t="s">
        <v>43</v>
      </c>
      <c r="V26" s="58" t="s">
        <v>43</v>
      </c>
      <c r="W26" s="49"/>
      <c r="X26" s="50"/>
    </row>
    <row r="27" spans="2:24" s="35" customFormat="1" ht="30" customHeight="1" x14ac:dyDescent="0.15">
      <c r="B27" s="364">
        <v>31</v>
      </c>
      <c r="C27" s="361" t="s">
        <v>128</v>
      </c>
      <c r="D27" s="353" t="s">
        <v>46</v>
      </c>
      <c r="E27" s="355" t="s">
        <v>129</v>
      </c>
      <c r="F27" s="366" t="s">
        <v>130</v>
      </c>
      <c r="G27" s="366" t="s">
        <v>131</v>
      </c>
      <c r="H27" s="357" t="s">
        <v>132</v>
      </c>
      <c r="I27" s="41" t="s">
        <v>107</v>
      </c>
      <c r="J27" s="40" t="s">
        <v>46</v>
      </c>
      <c r="K27" s="42" t="s">
        <v>43</v>
      </c>
      <c r="L27" s="43" t="s">
        <v>43</v>
      </c>
      <c r="M27" s="44" t="s">
        <v>43</v>
      </c>
      <c r="N27" s="44" t="s">
        <v>43</v>
      </c>
      <c r="O27" s="341">
        <v>41699</v>
      </c>
      <c r="P27" s="341">
        <v>41882</v>
      </c>
      <c r="Q27" s="343">
        <f>P27-O27+1</f>
        <v>184</v>
      </c>
      <c r="R27" s="30" t="s">
        <v>56</v>
      </c>
      <c r="S27" s="39" t="s">
        <v>46</v>
      </c>
      <c r="T27" s="40" t="s">
        <v>46</v>
      </c>
      <c r="U27" s="47" t="s">
        <v>133</v>
      </c>
      <c r="V27" s="48" t="s">
        <v>100</v>
      </c>
      <c r="W27" s="49"/>
      <c r="X27" s="50"/>
    </row>
    <row r="28" spans="2:24" s="35" customFormat="1" ht="30" customHeight="1" x14ac:dyDescent="0.15">
      <c r="B28" s="365"/>
      <c r="C28" s="363"/>
      <c r="D28" s="354"/>
      <c r="E28" s="356"/>
      <c r="F28" s="367"/>
      <c r="G28" s="367"/>
      <c r="H28" s="358"/>
      <c r="I28" s="41" t="s">
        <v>134</v>
      </c>
      <c r="J28" s="40" t="s">
        <v>46</v>
      </c>
      <c r="K28" s="42" t="s">
        <v>43</v>
      </c>
      <c r="L28" s="43" t="s">
        <v>43</v>
      </c>
      <c r="M28" s="44" t="s">
        <v>43</v>
      </c>
      <c r="N28" s="44" t="s">
        <v>43</v>
      </c>
      <c r="O28" s="342"/>
      <c r="P28" s="342"/>
      <c r="Q28" s="344"/>
      <c r="R28" s="30" t="s">
        <v>56</v>
      </c>
      <c r="S28" s="39" t="s">
        <v>46</v>
      </c>
      <c r="T28" s="40" t="s">
        <v>46</v>
      </c>
      <c r="U28" s="47" t="s">
        <v>133</v>
      </c>
      <c r="V28" s="48" t="s">
        <v>100</v>
      </c>
      <c r="W28" s="49"/>
      <c r="X28" s="50"/>
    </row>
    <row r="29" spans="2:24" ht="149.25" customHeight="1" x14ac:dyDescent="0.15">
      <c r="B29" s="73">
        <v>10</v>
      </c>
      <c r="C29" s="351" t="s">
        <v>135</v>
      </c>
      <c r="D29" s="64" t="s">
        <v>46</v>
      </c>
      <c r="E29" s="38" t="s">
        <v>136</v>
      </c>
      <c r="F29" s="74" t="s">
        <v>32</v>
      </c>
      <c r="G29" s="75" t="s">
        <v>137</v>
      </c>
      <c r="H29" s="40" t="s">
        <v>138</v>
      </c>
      <c r="I29" s="42" t="s">
        <v>139</v>
      </c>
      <c r="J29" s="76" t="s">
        <v>140</v>
      </c>
      <c r="K29" s="42" t="s">
        <v>53</v>
      </c>
      <c r="L29" s="43" t="s">
        <v>54</v>
      </c>
      <c r="M29" s="44" t="s">
        <v>43</v>
      </c>
      <c r="N29" s="77">
        <f>340325.47/1.18</f>
        <v>288411.4152542373</v>
      </c>
      <c r="O29" s="56">
        <v>40455</v>
      </c>
      <c r="P29" s="56">
        <v>40521</v>
      </c>
      <c r="Q29" s="63">
        <f>P29-O29+1</f>
        <v>67</v>
      </c>
      <c r="R29" s="30" t="s">
        <v>56</v>
      </c>
      <c r="S29" s="39" t="s">
        <v>46</v>
      </c>
      <c r="T29" s="40" t="s">
        <v>46</v>
      </c>
      <c r="U29" s="47" t="s">
        <v>141</v>
      </c>
      <c r="V29" s="48" t="s">
        <v>142</v>
      </c>
      <c r="W29" s="49"/>
      <c r="X29" s="50"/>
    </row>
    <row r="30" spans="2:24" ht="60" customHeight="1" x14ac:dyDescent="0.15">
      <c r="B30" s="73">
        <v>9</v>
      </c>
      <c r="C30" s="352"/>
      <c r="D30" s="64" t="s">
        <v>46</v>
      </c>
      <c r="E30" s="38" t="s">
        <v>143</v>
      </c>
      <c r="F30" s="74" t="s">
        <v>32</v>
      </c>
      <c r="G30" s="39" t="s">
        <v>32</v>
      </c>
      <c r="H30" s="76" t="s">
        <v>144</v>
      </c>
      <c r="I30" s="42" t="s">
        <v>145</v>
      </c>
      <c r="J30" s="76" t="s">
        <v>146</v>
      </c>
      <c r="K30" s="42" t="s">
        <v>53</v>
      </c>
      <c r="L30" s="43" t="s">
        <v>54</v>
      </c>
      <c r="M30" s="77">
        <v>714825.06</v>
      </c>
      <c r="N30" s="44" t="s">
        <v>43</v>
      </c>
      <c r="O30" s="56">
        <v>40266</v>
      </c>
      <c r="P30" s="56">
        <v>40363</v>
      </c>
      <c r="Q30" s="63">
        <f>P30-O30+1</f>
        <v>98</v>
      </c>
      <c r="R30" s="30" t="s">
        <v>56</v>
      </c>
      <c r="S30" s="39" t="s">
        <v>46</v>
      </c>
      <c r="T30" s="40" t="s">
        <v>46</v>
      </c>
      <c r="U30" s="47" t="s">
        <v>141</v>
      </c>
      <c r="V30" s="48" t="s">
        <v>142</v>
      </c>
      <c r="W30" s="49"/>
      <c r="X30" s="50"/>
    </row>
    <row r="31" spans="2:24" s="35" customFormat="1" ht="45" customHeight="1" x14ac:dyDescent="0.15">
      <c r="B31" s="36">
        <v>33</v>
      </c>
      <c r="C31" s="78" t="s">
        <v>147</v>
      </c>
      <c r="D31" s="64" t="s">
        <v>46</v>
      </c>
      <c r="E31" s="38" t="s">
        <v>148</v>
      </c>
      <c r="F31" s="39" t="s">
        <v>130</v>
      </c>
      <c r="G31" s="39" t="s">
        <v>149</v>
      </c>
      <c r="H31" s="40" t="s">
        <v>150</v>
      </c>
      <c r="I31" s="42" t="s">
        <v>107</v>
      </c>
      <c r="J31" s="76" t="s">
        <v>151</v>
      </c>
      <c r="K31" s="79" t="s">
        <v>152</v>
      </c>
      <c r="L31" s="43" t="s">
        <v>43</v>
      </c>
      <c r="M31" s="44" t="s">
        <v>43</v>
      </c>
      <c r="N31" s="44" t="s">
        <v>43</v>
      </c>
      <c r="O31" s="56">
        <v>43153</v>
      </c>
      <c r="P31" s="56">
        <v>43243</v>
      </c>
      <c r="Q31" s="63">
        <f>P31-O31+1</f>
        <v>91</v>
      </c>
      <c r="R31" s="30" t="s">
        <v>56</v>
      </c>
      <c r="S31" s="39" t="s">
        <v>46</v>
      </c>
      <c r="T31" s="40" t="s">
        <v>46</v>
      </c>
      <c r="U31" s="47" t="s">
        <v>153</v>
      </c>
      <c r="V31" s="48" t="s">
        <v>154</v>
      </c>
      <c r="W31" s="49"/>
      <c r="X31" s="50"/>
    </row>
    <row r="32" spans="2:24" s="35" customFormat="1" ht="34" x14ac:dyDescent="0.15">
      <c r="B32" s="364">
        <v>34</v>
      </c>
      <c r="C32" s="361" t="s">
        <v>155</v>
      </c>
      <c r="D32" s="353" t="s">
        <v>46</v>
      </c>
      <c r="E32" s="355" t="s">
        <v>156</v>
      </c>
      <c r="F32" s="366" t="s">
        <v>130</v>
      </c>
      <c r="G32" s="366" t="s">
        <v>157</v>
      </c>
      <c r="H32" s="357" t="s">
        <v>158</v>
      </c>
      <c r="I32" s="42" t="s">
        <v>107</v>
      </c>
      <c r="J32" s="76" t="s">
        <v>159</v>
      </c>
      <c r="K32" s="394" t="s">
        <v>43</v>
      </c>
      <c r="L32" s="43" t="s">
        <v>54</v>
      </c>
      <c r="M32" s="44">
        <v>324900</v>
      </c>
      <c r="N32" s="359" t="s">
        <v>43</v>
      </c>
      <c r="O32" s="56">
        <v>40805</v>
      </c>
      <c r="P32" s="56">
        <v>40987</v>
      </c>
      <c r="Q32" s="343">
        <f>P33-O32+1</f>
        <v>368</v>
      </c>
      <c r="R32" s="30" t="s">
        <v>56</v>
      </c>
      <c r="S32" s="39" t="s">
        <v>46</v>
      </c>
      <c r="T32" s="40" t="s">
        <v>46</v>
      </c>
      <c r="U32" s="47" t="s">
        <v>160</v>
      </c>
      <c r="V32" s="48" t="s">
        <v>161</v>
      </c>
      <c r="W32" s="49"/>
      <c r="X32" s="50"/>
    </row>
    <row r="33" spans="2:24" s="35" customFormat="1" ht="34" x14ac:dyDescent="0.15">
      <c r="B33" s="365"/>
      <c r="C33" s="363"/>
      <c r="D33" s="354"/>
      <c r="E33" s="356"/>
      <c r="F33" s="367"/>
      <c r="G33" s="367"/>
      <c r="H33" s="358"/>
      <c r="I33" s="42" t="s">
        <v>162</v>
      </c>
      <c r="J33" s="76" t="s">
        <v>163</v>
      </c>
      <c r="K33" s="395"/>
      <c r="L33" s="43" t="s">
        <v>54</v>
      </c>
      <c r="M33" s="44">
        <v>433200</v>
      </c>
      <c r="N33" s="360"/>
      <c r="O33" s="56">
        <v>40988</v>
      </c>
      <c r="P33" s="56">
        <v>41172</v>
      </c>
      <c r="Q33" s="344"/>
      <c r="R33" s="30" t="s">
        <v>56</v>
      </c>
      <c r="S33" s="39" t="s">
        <v>46</v>
      </c>
      <c r="T33" s="40" t="s">
        <v>46</v>
      </c>
      <c r="U33" s="47" t="s">
        <v>164</v>
      </c>
      <c r="V33" s="48" t="s">
        <v>165</v>
      </c>
      <c r="W33" s="49"/>
      <c r="X33" s="50"/>
    </row>
    <row r="34" spans="2:24" s="35" customFormat="1" ht="177" customHeight="1" x14ac:dyDescent="0.15">
      <c r="B34" s="36">
        <v>36</v>
      </c>
      <c r="C34" s="361" t="s">
        <v>166</v>
      </c>
      <c r="D34" s="64" t="s">
        <v>46</v>
      </c>
      <c r="E34" s="38" t="s">
        <v>167</v>
      </c>
      <c r="F34" s="39" t="s">
        <v>70</v>
      </c>
      <c r="G34" s="39" t="s">
        <v>91</v>
      </c>
      <c r="H34" s="40" t="s">
        <v>168</v>
      </c>
      <c r="I34" s="41" t="s">
        <v>107</v>
      </c>
      <c r="J34" s="76" t="s">
        <v>169</v>
      </c>
      <c r="K34" s="42" t="s">
        <v>170</v>
      </c>
      <c r="L34" s="43" t="s">
        <v>54</v>
      </c>
      <c r="M34" s="44">
        <v>55791.16</v>
      </c>
      <c r="N34" s="44" t="s">
        <v>43</v>
      </c>
      <c r="O34" s="56">
        <v>42795</v>
      </c>
      <c r="P34" s="56">
        <v>42855</v>
      </c>
      <c r="Q34" s="63">
        <f>P34-O34+1</f>
        <v>61</v>
      </c>
      <c r="R34" s="30" t="s">
        <v>56</v>
      </c>
      <c r="S34" s="39" t="s">
        <v>46</v>
      </c>
      <c r="T34" s="40" t="s">
        <v>46</v>
      </c>
      <c r="U34" s="47" t="s">
        <v>171</v>
      </c>
      <c r="V34" s="48" t="s">
        <v>172</v>
      </c>
      <c r="W34" s="49"/>
      <c r="X34" s="50"/>
    </row>
    <row r="35" spans="2:24" s="35" customFormat="1" ht="176.25" customHeight="1" x14ac:dyDescent="0.15">
      <c r="B35" s="36">
        <v>35</v>
      </c>
      <c r="C35" s="362"/>
      <c r="D35" s="64" t="s">
        <v>46</v>
      </c>
      <c r="E35" s="38" t="s">
        <v>173</v>
      </c>
      <c r="F35" s="39" t="s">
        <v>70</v>
      </c>
      <c r="G35" s="39" t="s">
        <v>91</v>
      </c>
      <c r="H35" s="40" t="s">
        <v>168</v>
      </c>
      <c r="I35" s="41" t="s">
        <v>174</v>
      </c>
      <c r="J35" s="76" t="s">
        <v>175</v>
      </c>
      <c r="K35" s="42" t="s">
        <v>170</v>
      </c>
      <c r="L35" s="43" t="s">
        <v>38</v>
      </c>
      <c r="M35" s="62">
        <f>2212573.85/N4</f>
        <v>638733.79041570437</v>
      </c>
      <c r="N35" s="44" t="s">
        <v>43</v>
      </c>
      <c r="O35" s="56">
        <v>41946</v>
      </c>
      <c r="P35" s="56">
        <v>42310</v>
      </c>
      <c r="Q35" s="63">
        <f>P35-O35+1</f>
        <v>365</v>
      </c>
      <c r="R35" s="30" t="s">
        <v>56</v>
      </c>
      <c r="S35" s="39" t="s">
        <v>46</v>
      </c>
      <c r="T35" s="40" t="s">
        <v>46</v>
      </c>
      <c r="U35" s="47" t="s">
        <v>176</v>
      </c>
      <c r="V35" s="48" t="s">
        <v>177</v>
      </c>
      <c r="W35" s="49"/>
      <c r="X35" s="50"/>
    </row>
    <row r="36" spans="2:24" s="35" customFormat="1" ht="51" x14ac:dyDescent="0.15">
      <c r="B36" s="36">
        <v>20</v>
      </c>
      <c r="C36" s="362"/>
      <c r="D36" s="64" t="s">
        <v>46</v>
      </c>
      <c r="E36" s="38" t="s">
        <v>178</v>
      </c>
      <c r="F36" s="18" t="s">
        <v>32</v>
      </c>
      <c r="G36" s="18" t="s">
        <v>32</v>
      </c>
      <c r="H36" s="40" t="s">
        <v>168</v>
      </c>
      <c r="I36" s="41" t="s">
        <v>179</v>
      </c>
      <c r="J36" s="40" t="s">
        <v>180</v>
      </c>
      <c r="K36" s="42" t="s">
        <v>43</v>
      </c>
      <c r="L36" s="43" t="s">
        <v>54</v>
      </c>
      <c r="M36" s="44" t="s">
        <v>43</v>
      </c>
      <c r="N36" s="44">
        <v>135231.53</v>
      </c>
      <c r="O36" s="56" t="s">
        <v>43</v>
      </c>
      <c r="P36" s="56">
        <v>42018</v>
      </c>
      <c r="Q36" s="45" t="s">
        <v>43</v>
      </c>
      <c r="R36" s="30" t="s">
        <v>56</v>
      </c>
      <c r="S36" s="39" t="s">
        <v>46</v>
      </c>
      <c r="T36" s="40" t="s">
        <v>46</v>
      </c>
      <c r="U36" s="47" t="s">
        <v>181</v>
      </c>
      <c r="V36" s="48" t="s">
        <v>182</v>
      </c>
      <c r="W36" s="49"/>
      <c r="X36" s="50"/>
    </row>
    <row r="37" spans="2:24" s="35" customFormat="1" ht="81.75" customHeight="1" x14ac:dyDescent="0.15">
      <c r="B37" s="364">
        <v>16</v>
      </c>
      <c r="C37" s="362"/>
      <c r="D37" s="353" t="s">
        <v>46</v>
      </c>
      <c r="E37" s="355" t="s">
        <v>183</v>
      </c>
      <c r="F37" s="366" t="s">
        <v>90</v>
      </c>
      <c r="G37" s="39" t="s">
        <v>184</v>
      </c>
      <c r="H37" s="357" t="s">
        <v>168</v>
      </c>
      <c r="I37" s="42" t="s">
        <v>185</v>
      </c>
      <c r="J37" s="357" t="s">
        <v>186</v>
      </c>
      <c r="K37" s="42" t="s">
        <v>43</v>
      </c>
      <c r="L37" s="43" t="s">
        <v>54</v>
      </c>
      <c r="M37" s="44">
        <v>1061715.8899999999</v>
      </c>
      <c r="N37" s="359" t="s">
        <v>43</v>
      </c>
      <c r="O37" s="341">
        <v>41294</v>
      </c>
      <c r="P37" s="341">
        <v>41363</v>
      </c>
      <c r="Q37" s="343">
        <f>P37-O37+1</f>
        <v>70</v>
      </c>
      <c r="R37" s="30" t="s">
        <v>56</v>
      </c>
      <c r="S37" s="39" t="s">
        <v>46</v>
      </c>
      <c r="T37" s="40" t="s">
        <v>46</v>
      </c>
      <c r="U37" s="47" t="s">
        <v>187</v>
      </c>
      <c r="V37" s="48" t="s">
        <v>100</v>
      </c>
      <c r="W37" s="49"/>
      <c r="X37" s="50"/>
    </row>
    <row r="38" spans="2:24" s="35" customFormat="1" ht="34" x14ac:dyDescent="0.15">
      <c r="B38" s="408"/>
      <c r="C38" s="362"/>
      <c r="D38" s="369"/>
      <c r="E38" s="370"/>
      <c r="F38" s="409"/>
      <c r="G38" s="39" t="s">
        <v>188</v>
      </c>
      <c r="H38" s="389"/>
      <c r="I38" s="42" t="s">
        <v>189</v>
      </c>
      <c r="J38" s="389"/>
      <c r="K38" s="42" t="s">
        <v>43</v>
      </c>
      <c r="L38" s="43" t="s">
        <v>54</v>
      </c>
      <c r="M38" s="44">
        <f>77000</f>
        <v>77000</v>
      </c>
      <c r="N38" s="384"/>
      <c r="O38" s="342"/>
      <c r="P38" s="342"/>
      <c r="Q38" s="344"/>
      <c r="R38" s="30" t="s">
        <v>56</v>
      </c>
      <c r="S38" s="39" t="s">
        <v>46</v>
      </c>
      <c r="T38" s="40" t="s">
        <v>46</v>
      </c>
      <c r="U38" s="47" t="s">
        <v>190</v>
      </c>
      <c r="V38" s="48" t="s">
        <v>191</v>
      </c>
      <c r="W38" s="49"/>
      <c r="X38" s="50"/>
    </row>
    <row r="39" spans="2:24" s="35" customFormat="1" ht="34" x14ac:dyDescent="0.15">
      <c r="B39" s="408"/>
      <c r="C39" s="362"/>
      <c r="D39" s="369"/>
      <c r="E39" s="370"/>
      <c r="F39" s="409"/>
      <c r="G39" s="39" t="s">
        <v>192</v>
      </c>
      <c r="H39" s="389"/>
      <c r="I39" s="42" t="s">
        <v>193</v>
      </c>
      <c r="J39" s="389"/>
      <c r="K39" s="42" t="s">
        <v>43</v>
      </c>
      <c r="L39" s="43" t="s">
        <v>54</v>
      </c>
      <c r="M39" s="44">
        <v>377778.94</v>
      </c>
      <c r="N39" s="384"/>
      <c r="O39" s="56" t="s">
        <v>43</v>
      </c>
      <c r="P39" s="56" t="s">
        <v>43</v>
      </c>
      <c r="Q39" s="63" t="s">
        <v>43</v>
      </c>
      <c r="R39" s="30" t="s">
        <v>56</v>
      </c>
      <c r="S39" s="39" t="s">
        <v>46</v>
      </c>
      <c r="T39" s="40" t="s">
        <v>46</v>
      </c>
      <c r="U39" s="47" t="s">
        <v>190</v>
      </c>
      <c r="V39" s="48" t="s">
        <v>191</v>
      </c>
      <c r="W39" s="49"/>
      <c r="X39" s="50"/>
    </row>
    <row r="40" spans="2:24" s="35" customFormat="1" ht="161.25" customHeight="1" x14ac:dyDescent="0.15">
      <c r="B40" s="408"/>
      <c r="C40" s="362"/>
      <c r="D40" s="369"/>
      <c r="E40" s="370"/>
      <c r="F40" s="409"/>
      <c r="G40" s="39" t="s">
        <v>194</v>
      </c>
      <c r="H40" s="389"/>
      <c r="I40" s="42" t="s">
        <v>195</v>
      </c>
      <c r="J40" s="389"/>
      <c r="K40" s="42" t="s">
        <v>43</v>
      </c>
      <c r="L40" s="43" t="s">
        <v>54</v>
      </c>
      <c r="M40" s="44">
        <v>302064.26</v>
      </c>
      <c r="N40" s="384"/>
      <c r="O40" s="56">
        <v>41596</v>
      </c>
      <c r="P40" s="45">
        <v>41625</v>
      </c>
      <c r="Q40" s="63">
        <f>P40-O40+1</f>
        <v>30</v>
      </c>
      <c r="R40" s="30" t="s">
        <v>56</v>
      </c>
      <c r="S40" s="39" t="s">
        <v>46</v>
      </c>
      <c r="T40" s="40" t="s">
        <v>46</v>
      </c>
      <c r="U40" s="47" t="s">
        <v>190</v>
      </c>
      <c r="V40" s="48" t="s">
        <v>191</v>
      </c>
      <c r="W40" s="49"/>
      <c r="X40" s="50"/>
    </row>
    <row r="41" spans="2:24" s="35" customFormat="1" ht="51" x14ac:dyDescent="0.15">
      <c r="B41" s="365"/>
      <c r="C41" s="362"/>
      <c r="D41" s="354"/>
      <c r="E41" s="356"/>
      <c r="F41" s="367"/>
      <c r="G41" s="39" t="s">
        <v>196</v>
      </c>
      <c r="H41" s="358"/>
      <c r="I41" s="42" t="s">
        <v>197</v>
      </c>
      <c r="J41" s="358"/>
      <c r="K41" s="42" t="s">
        <v>43</v>
      </c>
      <c r="L41" s="43" t="s">
        <v>54</v>
      </c>
      <c r="M41" s="44">
        <v>697908.59</v>
      </c>
      <c r="N41" s="360"/>
      <c r="O41" s="56">
        <v>41700</v>
      </c>
      <c r="P41" s="56">
        <v>41744</v>
      </c>
      <c r="Q41" s="63">
        <f>P41-O41+1</f>
        <v>45</v>
      </c>
      <c r="R41" s="30" t="s">
        <v>56</v>
      </c>
      <c r="S41" s="39" t="s">
        <v>46</v>
      </c>
      <c r="T41" s="40" t="s">
        <v>46</v>
      </c>
      <c r="U41" s="47" t="s">
        <v>190</v>
      </c>
      <c r="V41" s="48" t="s">
        <v>191</v>
      </c>
      <c r="W41" s="49"/>
      <c r="X41" s="50"/>
    </row>
    <row r="42" spans="2:24" s="35" customFormat="1" ht="119.25" customHeight="1" x14ac:dyDescent="0.15">
      <c r="B42" s="36">
        <v>18</v>
      </c>
      <c r="C42" s="80" t="s">
        <v>198</v>
      </c>
      <c r="D42" s="64" t="s">
        <v>46</v>
      </c>
      <c r="E42" s="38" t="s">
        <v>199</v>
      </c>
      <c r="F42" s="39" t="s">
        <v>90</v>
      </c>
      <c r="G42" s="39" t="s">
        <v>200</v>
      </c>
      <c r="H42" s="40" t="s">
        <v>201</v>
      </c>
      <c r="I42" s="42" t="s">
        <v>202</v>
      </c>
      <c r="J42" s="76" t="s">
        <v>203</v>
      </c>
      <c r="K42" s="42" t="s">
        <v>74</v>
      </c>
      <c r="L42" s="43" t="s">
        <v>38</v>
      </c>
      <c r="M42" s="62">
        <f>(570540.86/1.18)/N4</f>
        <v>139581.1788076878</v>
      </c>
      <c r="N42" s="44" t="s">
        <v>43</v>
      </c>
      <c r="O42" s="56" t="s">
        <v>204</v>
      </c>
      <c r="P42" s="56" t="s">
        <v>205</v>
      </c>
      <c r="Q42" s="63">
        <v>60</v>
      </c>
      <c r="R42" s="30" t="s">
        <v>56</v>
      </c>
      <c r="S42" s="39" t="s">
        <v>46</v>
      </c>
      <c r="T42" s="40" t="s">
        <v>46</v>
      </c>
      <c r="U42" s="47" t="s">
        <v>206</v>
      </c>
      <c r="V42" s="48" t="s">
        <v>116</v>
      </c>
      <c r="W42" s="49"/>
      <c r="X42" s="50"/>
    </row>
    <row r="43" spans="2:24" s="35" customFormat="1" ht="68" x14ac:dyDescent="0.15">
      <c r="B43" s="36">
        <v>37</v>
      </c>
      <c r="C43" s="78" t="s">
        <v>207</v>
      </c>
      <c r="D43" s="64" t="s">
        <v>46</v>
      </c>
      <c r="E43" s="38" t="s">
        <v>208</v>
      </c>
      <c r="F43" s="39" t="s">
        <v>130</v>
      </c>
      <c r="G43" s="39" t="s">
        <v>209</v>
      </c>
      <c r="H43" s="40" t="s">
        <v>144</v>
      </c>
      <c r="I43" s="42" t="s">
        <v>107</v>
      </c>
      <c r="J43" s="76" t="s">
        <v>169</v>
      </c>
      <c r="K43" s="79" t="s">
        <v>210</v>
      </c>
      <c r="L43" s="43" t="s">
        <v>43</v>
      </c>
      <c r="M43" s="44" t="s">
        <v>43</v>
      </c>
      <c r="N43" s="44" t="s">
        <v>43</v>
      </c>
      <c r="O43" s="56">
        <v>43083</v>
      </c>
      <c r="P43" s="56">
        <v>43143</v>
      </c>
      <c r="Q43" s="63">
        <f>2*30</f>
        <v>60</v>
      </c>
      <c r="R43" s="30" t="s">
        <v>56</v>
      </c>
      <c r="S43" s="39" t="s">
        <v>46</v>
      </c>
      <c r="T43" s="40" t="s">
        <v>46</v>
      </c>
      <c r="U43" s="47" t="s">
        <v>211</v>
      </c>
      <c r="V43" s="48" t="s">
        <v>161</v>
      </c>
      <c r="W43" s="49"/>
      <c r="X43" s="50"/>
    </row>
    <row r="44" spans="2:24" s="35" customFormat="1" ht="188.25" customHeight="1" x14ac:dyDescent="0.15">
      <c r="B44" s="364">
        <v>65</v>
      </c>
      <c r="C44" s="361" t="s">
        <v>212</v>
      </c>
      <c r="D44" s="353" t="s">
        <v>46</v>
      </c>
      <c r="E44" s="355" t="s">
        <v>213</v>
      </c>
      <c r="F44" s="366" t="s">
        <v>32</v>
      </c>
      <c r="G44" s="75" t="s">
        <v>214</v>
      </c>
      <c r="H44" s="424" t="s">
        <v>158</v>
      </c>
      <c r="I44" s="71" t="s">
        <v>215</v>
      </c>
      <c r="J44" s="424" t="s">
        <v>216</v>
      </c>
      <c r="K44" s="71" t="s">
        <v>53</v>
      </c>
      <c r="L44" s="23" t="s">
        <v>38</v>
      </c>
      <c r="M44" s="55">
        <f>5404189.56/N4</f>
        <v>1560100.9122401846</v>
      </c>
      <c r="N44" s="425">
        <f>8873786.44/N4</f>
        <v>2561716.6397228637</v>
      </c>
      <c r="O44" s="66">
        <v>41834</v>
      </c>
      <c r="P44" s="66">
        <v>42017</v>
      </c>
      <c r="Q44" s="343">
        <f>P47-O44+1</f>
        <v>230</v>
      </c>
      <c r="R44" s="30" t="s">
        <v>56</v>
      </c>
      <c r="S44" s="39" t="s">
        <v>46</v>
      </c>
      <c r="T44" s="40" t="s">
        <v>46</v>
      </c>
      <c r="U44" s="47" t="s">
        <v>217</v>
      </c>
      <c r="V44" s="48" t="s">
        <v>218</v>
      </c>
      <c r="W44" s="81" t="s">
        <v>219</v>
      </c>
      <c r="X44" s="82" t="s">
        <v>220</v>
      </c>
    </row>
    <row r="45" spans="2:24" s="35" customFormat="1" ht="51" x14ac:dyDescent="0.15">
      <c r="B45" s="408"/>
      <c r="C45" s="362"/>
      <c r="D45" s="369"/>
      <c r="E45" s="370"/>
      <c r="F45" s="409"/>
      <c r="G45" s="39" t="s">
        <v>221</v>
      </c>
      <c r="H45" s="424"/>
      <c r="I45" s="71" t="s">
        <v>222</v>
      </c>
      <c r="J45" s="424"/>
      <c r="K45" s="71" t="s">
        <v>53</v>
      </c>
      <c r="L45" s="23" t="s">
        <v>38</v>
      </c>
      <c r="M45" s="55">
        <f>1380376.5/N4</f>
        <v>398492.06120092381</v>
      </c>
      <c r="N45" s="426"/>
      <c r="O45" s="66">
        <v>41883</v>
      </c>
      <c r="P45" s="66">
        <v>42035</v>
      </c>
      <c r="Q45" s="418"/>
      <c r="R45" s="30" t="s">
        <v>56</v>
      </c>
      <c r="S45" s="39" t="s">
        <v>46</v>
      </c>
      <c r="T45" s="40" t="s">
        <v>46</v>
      </c>
      <c r="U45" s="47" t="s">
        <v>223</v>
      </c>
      <c r="V45" s="48" t="s">
        <v>116</v>
      </c>
      <c r="W45" s="59"/>
      <c r="X45" s="83"/>
    </row>
    <row r="46" spans="2:24" s="35" customFormat="1" ht="34" x14ac:dyDescent="0.15">
      <c r="B46" s="408"/>
      <c r="C46" s="362"/>
      <c r="D46" s="369"/>
      <c r="E46" s="370"/>
      <c r="F46" s="409"/>
      <c r="G46" s="39" t="s">
        <v>46</v>
      </c>
      <c r="H46" s="424"/>
      <c r="I46" s="71" t="s">
        <v>101</v>
      </c>
      <c r="J46" s="424"/>
      <c r="K46" s="71" t="s">
        <v>53</v>
      </c>
      <c r="L46" s="23" t="s">
        <v>38</v>
      </c>
      <c r="M46" s="55">
        <v>0</v>
      </c>
      <c r="N46" s="426"/>
      <c r="O46" s="66">
        <v>42018</v>
      </c>
      <c r="P46" s="66">
        <v>42063</v>
      </c>
      <c r="Q46" s="418"/>
      <c r="R46" s="30" t="s">
        <v>56</v>
      </c>
      <c r="S46" s="39" t="s">
        <v>46</v>
      </c>
      <c r="T46" s="40" t="s">
        <v>46</v>
      </c>
      <c r="U46" s="47" t="s">
        <v>224</v>
      </c>
      <c r="V46" s="48" t="s">
        <v>116</v>
      </c>
      <c r="W46" s="59"/>
      <c r="X46" s="83"/>
    </row>
    <row r="47" spans="2:24" s="35" customFormat="1" ht="51" x14ac:dyDescent="0.15">
      <c r="B47" s="365"/>
      <c r="C47" s="362"/>
      <c r="D47" s="354"/>
      <c r="E47" s="356"/>
      <c r="F47" s="367"/>
      <c r="G47" s="39" t="s">
        <v>225</v>
      </c>
      <c r="H47" s="424"/>
      <c r="I47" s="71" t="s">
        <v>102</v>
      </c>
      <c r="J47" s="424"/>
      <c r="K47" s="71" t="s">
        <v>53</v>
      </c>
      <c r="L47" s="23" t="s">
        <v>38</v>
      </c>
      <c r="M47" s="55">
        <f>735592.35/N4</f>
        <v>212353.44976905311</v>
      </c>
      <c r="N47" s="426"/>
      <c r="O47" s="66">
        <v>42036</v>
      </c>
      <c r="P47" s="66">
        <v>42063</v>
      </c>
      <c r="Q47" s="344"/>
      <c r="R47" s="30" t="s">
        <v>56</v>
      </c>
      <c r="S47" s="39" t="s">
        <v>46</v>
      </c>
      <c r="T47" s="40" t="s">
        <v>46</v>
      </c>
      <c r="U47" s="47" t="s">
        <v>226</v>
      </c>
      <c r="V47" s="48" t="s">
        <v>116</v>
      </c>
      <c r="W47" s="59"/>
      <c r="X47" s="83"/>
    </row>
    <row r="48" spans="2:24" s="35" customFormat="1" ht="34" x14ac:dyDescent="0.15">
      <c r="B48" s="364">
        <v>19</v>
      </c>
      <c r="C48" s="362"/>
      <c r="D48" s="353" t="s">
        <v>227</v>
      </c>
      <c r="E48" s="355" t="s">
        <v>228</v>
      </c>
      <c r="F48" s="366" t="s">
        <v>229</v>
      </c>
      <c r="G48" s="39" t="s">
        <v>230</v>
      </c>
      <c r="H48" s="357" t="s">
        <v>231</v>
      </c>
      <c r="I48" s="41" t="s">
        <v>232</v>
      </c>
      <c r="J48" s="357" t="s">
        <v>233</v>
      </c>
      <c r="K48" s="394" t="s">
        <v>43</v>
      </c>
      <c r="L48" s="387" t="s">
        <v>38</v>
      </c>
      <c r="M48" s="62">
        <f>677419.01/N4</f>
        <v>195559.76039260969</v>
      </c>
      <c r="N48" s="359">
        <f>M48+M49</f>
        <v>195559.76039260969</v>
      </c>
      <c r="O48" s="341">
        <v>41589</v>
      </c>
      <c r="P48" s="341">
        <v>41698</v>
      </c>
      <c r="Q48" s="343">
        <f>P48-O48+1</f>
        <v>110</v>
      </c>
      <c r="R48" s="385" t="s">
        <v>56</v>
      </c>
      <c r="S48" s="366" t="s">
        <v>46</v>
      </c>
      <c r="T48" s="357" t="s">
        <v>46</v>
      </c>
      <c r="U48" s="47" t="s">
        <v>234</v>
      </c>
      <c r="V48" s="48" t="s">
        <v>235</v>
      </c>
      <c r="W48" s="59"/>
      <c r="X48" s="83"/>
    </row>
    <row r="49" spans="2:24" s="35" customFormat="1" ht="34" x14ac:dyDescent="0.15">
      <c r="B49" s="365"/>
      <c r="C49" s="362"/>
      <c r="D49" s="354"/>
      <c r="E49" s="356"/>
      <c r="F49" s="367"/>
      <c r="G49" s="39" t="s">
        <v>236</v>
      </c>
      <c r="H49" s="358"/>
      <c r="I49" s="42" t="s">
        <v>237</v>
      </c>
      <c r="J49" s="358"/>
      <c r="K49" s="395"/>
      <c r="L49" s="388"/>
      <c r="M49" s="62">
        <v>0</v>
      </c>
      <c r="N49" s="360"/>
      <c r="O49" s="342"/>
      <c r="P49" s="342"/>
      <c r="Q49" s="344"/>
      <c r="R49" s="386"/>
      <c r="S49" s="367"/>
      <c r="T49" s="358"/>
      <c r="U49" s="47" t="s">
        <v>234</v>
      </c>
      <c r="V49" s="48" t="s">
        <v>235</v>
      </c>
      <c r="W49" s="59"/>
      <c r="X49" s="83"/>
    </row>
    <row r="50" spans="2:24" s="35" customFormat="1" ht="57" customHeight="1" x14ac:dyDescent="0.15">
      <c r="B50" s="364">
        <v>69</v>
      </c>
      <c r="C50" s="362"/>
      <c r="D50" s="84" t="s">
        <v>46</v>
      </c>
      <c r="E50" s="355" t="s">
        <v>238</v>
      </c>
      <c r="F50" s="366" t="s">
        <v>48</v>
      </c>
      <c r="G50" s="366" t="s">
        <v>239</v>
      </c>
      <c r="H50" s="357" t="s">
        <v>158</v>
      </c>
      <c r="I50" s="42" t="s">
        <v>107</v>
      </c>
      <c r="J50" s="357" t="s">
        <v>240</v>
      </c>
      <c r="K50" s="42" t="s">
        <v>74</v>
      </c>
      <c r="L50" s="43" t="s">
        <v>38</v>
      </c>
      <c r="M50" s="62">
        <f>3293999.27/N4</f>
        <v>950923.57678983838</v>
      </c>
      <c r="N50" s="359">
        <f>M50+M51+M52+M53</f>
        <v>970129.46882217098</v>
      </c>
      <c r="O50" s="66">
        <v>41244</v>
      </c>
      <c r="P50" s="66">
        <v>41364</v>
      </c>
      <c r="Q50" s="343">
        <f>P53-O50+1</f>
        <v>319</v>
      </c>
      <c r="R50" s="30" t="s">
        <v>56</v>
      </c>
      <c r="S50" s="39" t="s">
        <v>46</v>
      </c>
      <c r="T50" s="40" t="s">
        <v>46</v>
      </c>
      <c r="U50" s="47" t="s">
        <v>241</v>
      </c>
      <c r="V50" s="48" t="s">
        <v>116</v>
      </c>
      <c r="W50" s="59"/>
      <c r="X50" s="83"/>
    </row>
    <row r="51" spans="2:24" s="35" customFormat="1" ht="57" customHeight="1" x14ac:dyDescent="0.15">
      <c r="B51" s="408"/>
      <c r="C51" s="362"/>
      <c r="D51" s="84"/>
      <c r="E51" s="370"/>
      <c r="F51" s="409"/>
      <c r="G51" s="409"/>
      <c r="H51" s="389"/>
      <c r="I51" s="42" t="s">
        <v>242</v>
      </c>
      <c r="J51" s="389"/>
      <c r="K51" s="42" t="s">
        <v>74</v>
      </c>
      <c r="L51" s="43" t="s">
        <v>38</v>
      </c>
      <c r="M51" s="62">
        <v>0</v>
      </c>
      <c r="N51" s="384"/>
      <c r="O51" s="66">
        <v>41365</v>
      </c>
      <c r="P51" s="66" t="s">
        <v>243</v>
      </c>
      <c r="Q51" s="418"/>
      <c r="R51" s="30" t="s">
        <v>56</v>
      </c>
      <c r="S51" s="39" t="s">
        <v>46</v>
      </c>
      <c r="T51" s="40" t="s">
        <v>46</v>
      </c>
      <c r="U51" s="47" t="s">
        <v>241</v>
      </c>
      <c r="V51" s="48" t="s">
        <v>116</v>
      </c>
      <c r="W51" s="59"/>
      <c r="X51" s="83"/>
    </row>
    <row r="52" spans="2:24" s="35" customFormat="1" ht="57" customHeight="1" x14ac:dyDescent="0.15">
      <c r="B52" s="408"/>
      <c r="C52" s="362"/>
      <c r="D52" s="84"/>
      <c r="E52" s="370"/>
      <c r="F52" s="409"/>
      <c r="G52" s="409"/>
      <c r="H52" s="389"/>
      <c r="I52" s="42" t="s">
        <v>244</v>
      </c>
      <c r="J52" s="389"/>
      <c r="K52" s="42" t="s">
        <v>74</v>
      </c>
      <c r="L52" s="43" t="s">
        <v>38</v>
      </c>
      <c r="M52" s="62">
        <f>241872.91/N4</f>
        <v>69824.743071593533</v>
      </c>
      <c r="N52" s="384"/>
      <c r="O52" s="66">
        <v>41376</v>
      </c>
      <c r="P52" s="66">
        <v>41455</v>
      </c>
      <c r="Q52" s="418"/>
      <c r="R52" s="30" t="s">
        <v>56</v>
      </c>
      <c r="S52" s="39" t="s">
        <v>46</v>
      </c>
      <c r="T52" s="40" t="s">
        <v>46</v>
      </c>
      <c r="U52" s="47" t="s">
        <v>241</v>
      </c>
      <c r="V52" s="48" t="s">
        <v>116</v>
      </c>
      <c r="W52" s="59"/>
      <c r="X52" s="83"/>
    </row>
    <row r="53" spans="2:24" s="35" customFormat="1" ht="57" customHeight="1" x14ac:dyDescent="0.15">
      <c r="B53" s="365"/>
      <c r="C53" s="362"/>
      <c r="D53" s="84"/>
      <c r="E53" s="356"/>
      <c r="F53" s="367"/>
      <c r="G53" s="367"/>
      <c r="H53" s="358"/>
      <c r="I53" s="42" t="s">
        <v>245</v>
      </c>
      <c r="J53" s="358"/>
      <c r="K53" s="42" t="s">
        <v>74</v>
      </c>
      <c r="L53" s="43" t="s">
        <v>38</v>
      </c>
      <c r="M53" s="62">
        <f>(576780.79-752124.49)/N4</f>
        <v>-50618.851039260961</v>
      </c>
      <c r="N53" s="360"/>
      <c r="O53" s="66">
        <v>41456</v>
      </c>
      <c r="P53" s="66">
        <v>41562</v>
      </c>
      <c r="Q53" s="344"/>
      <c r="R53" s="30" t="s">
        <v>56</v>
      </c>
      <c r="S53" s="39" t="s">
        <v>46</v>
      </c>
      <c r="T53" s="40" t="s">
        <v>46</v>
      </c>
      <c r="U53" s="47" t="s">
        <v>241</v>
      </c>
      <c r="V53" s="48" t="s">
        <v>116</v>
      </c>
      <c r="W53" s="59"/>
      <c r="X53" s="83"/>
    </row>
    <row r="54" spans="2:24" s="35" customFormat="1" ht="47" customHeight="1" x14ac:dyDescent="0.15">
      <c r="B54" s="364">
        <v>68</v>
      </c>
      <c r="C54" s="362"/>
      <c r="D54" s="353" t="s">
        <v>227</v>
      </c>
      <c r="E54" s="355" t="s">
        <v>246</v>
      </c>
      <c r="F54" s="366" t="s">
        <v>247</v>
      </c>
      <c r="G54" s="85" t="s">
        <v>43</v>
      </c>
      <c r="H54" s="357" t="s">
        <v>158</v>
      </c>
      <c r="I54" s="42" t="s">
        <v>107</v>
      </c>
      <c r="J54" s="357" t="s">
        <v>248</v>
      </c>
      <c r="K54" s="71" t="s">
        <v>53</v>
      </c>
      <c r="L54" s="23" t="s">
        <v>54</v>
      </c>
      <c r="M54" s="27">
        <v>1357065.7</v>
      </c>
      <c r="N54" s="359">
        <f>M54+M55</f>
        <v>1351051.8</v>
      </c>
      <c r="O54" s="66">
        <v>40820</v>
      </c>
      <c r="P54" s="66" t="s">
        <v>43</v>
      </c>
      <c r="Q54" s="343">
        <f>P55-O54+1</f>
        <v>242</v>
      </c>
      <c r="R54" s="30" t="s">
        <v>56</v>
      </c>
      <c r="S54" s="39" t="s">
        <v>46</v>
      </c>
      <c r="T54" s="40" t="s">
        <v>46</v>
      </c>
      <c r="U54" s="47" t="s">
        <v>249</v>
      </c>
      <c r="V54" s="48" t="s">
        <v>250</v>
      </c>
      <c r="W54" s="81" t="s">
        <v>251</v>
      </c>
      <c r="X54" s="83"/>
    </row>
    <row r="55" spans="2:24" s="35" customFormat="1" ht="47" customHeight="1" x14ac:dyDescent="0.15">
      <c r="B55" s="365"/>
      <c r="C55" s="363"/>
      <c r="D55" s="354"/>
      <c r="E55" s="356"/>
      <c r="F55" s="367"/>
      <c r="G55" s="85" t="s">
        <v>43</v>
      </c>
      <c r="H55" s="358"/>
      <c r="I55" s="42" t="s">
        <v>252</v>
      </c>
      <c r="J55" s="358"/>
      <c r="K55" s="71" t="s">
        <v>53</v>
      </c>
      <c r="L55" s="23" t="s">
        <v>54</v>
      </c>
      <c r="M55" s="44">
        <v>-6013.9</v>
      </c>
      <c r="N55" s="360"/>
      <c r="O55" s="66">
        <v>40979</v>
      </c>
      <c r="P55" s="66">
        <v>41061</v>
      </c>
      <c r="Q55" s="344"/>
      <c r="R55" s="30" t="s">
        <v>56</v>
      </c>
      <c r="S55" s="39" t="s">
        <v>46</v>
      </c>
      <c r="T55" s="40" t="s">
        <v>46</v>
      </c>
      <c r="U55" s="47" t="s">
        <v>241</v>
      </c>
      <c r="V55" s="48" t="s">
        <v>116</v>
      </c>
      <c r="W55" s="59"/>
      <c r="X55" s="83"/>
    </row>
    <row r="56" spans="2:24" s="35" customFormat="1" ht="46" customHeight="1" x14ac:dyDescent="0.15">
      <c r="B56" s="36" t="s">
        <v>253</v>
      </c>
      <c r="C56" s="361" t="s">
        <v>254</v>
      </c>
      <c r="D56" s="353" t="s">
        <v>46</v>
      </c>
      <c r="E56" s="355" t="s">
        <v>255</v>
      </c>
      <c r="F56" s="39" t="s">
        <v>256</v>
      </c>
      <c r="G56" s="39" t="s">
        <v>256</v>
      </c>
      <c r="H56" s="40" t="s">
        <v>231</v>
      </c>
      <c r="I56" s="53" t="s">
        <v>257</v>
      </c>
      <c r="J56" s="86">
        <v>4400284775</v>
      </c>
      <c r="K56" s="71" t="s">
        <v>43</v>
      </c>
      <c r="L56" s="23" t="s">
        <v>38</v>
      </c>
      <c r="M56" s="87">
        <f>38721.92/N4</f>
        <v>11178.38337182448</v>
      </c>
      <c r="N56" s="87" t="s">
        <v>39</v>
      </c>
      <c r="O56" s="88">
        <v>43488</v>
      </c>
      <c r="P56" s="88">
        <v>43524</v>
      </c>
      <c r="Q56" s="89">
        <f t="shared" ref="Q56:Q67" si="0">P56-O56+1</f>
        <v>37</v>
      </c>
      <c r="R56" s="30" t="s">
        <v>56</v>
      </c>
      <c r="S56" s="39" t="s">
        <v>46</v>
      </c>
      <c r="T56" s="40" t="s">
        <v>46</v>
      </c>
      <c r="U56" s="47" t="s">
        <v>258</v>
      </c>
      <c r="V56" s="48" t="s">
        <v>259</v>
      </c>
      <c r="W56" s="81" t="s">
        <v>260</v>
      </c>
      <c r="X56" s="82" t="s">
        <v>261</v>
      </c>
    </row>
    <row r="57" spans="2:24" s="35" customFormat="1" ht="46" customHeight="1" x14ac:dyDescent="0.15">
      <c r="B57" s="36" t="s">
        <v>262</v>
      </c>
      <c r="C57" s="362"/>
      <c r="D57" s="369"/>
      <c r="E57" s="370"/>
      <c r="F57" s="39" t="s">
        <v>263</v>
      </c>
      <c r="G57" s="39" t="s">
        <v>264</v>
      </c>
      <c r="H57" s="40" t="s">
        <v>231</v>
      </c>
      <c r="I57" s="53" t="s">
        <v>257</v>
      </c>
      <c r="J57" s="86">
        <v>4400287692</v>
      </c>
      <c r="K57" s="71" t="s">
        <v>43</v>
      </c>
      <c r="L57" s="23" t="s">
        <v>38</v>
      </c>
      <c r="M57" s="87">
        <f>51898.57/N4</f>
        <v>14982.266166281755</v>
      </c>
      <c r="N57" s="87" t="s">
        <v>39</v>
      </c>
      <c r="O57" s="88">
        <v>43503</v>
      </c>
      <c r="P57" s="88">
        <v>43523</v>
      </c>
      <c r="Q57" s="89">
        <f t="shared" si="0"/>
        <v>21</v>
      </c>
      <c r="R57" s="30" t="s">
        <v>56</v>
      </c>
      <c r="S57" s="39" t="s">
        <v>46</v>
      </c>
      <c r="T57" s="40" t="s">
        <v>46</v>
      </c>
      <c r="U57" s="47" t="s">
        <v>258</v>
      </c>
      <c r="V57" s="48" t="s">
        <v>259</v>
      </c>
      <c r="W57" s="81" t="s">
        <v>260</v>
      </c>
      <c r="X57" s="82" t="s">
        <v>261</v>
      </c>
    </row>
    <row r="58" spans="2:24" s="35" customFormat="1" ht="46" customHeight="1" x14ac:dyDescent="0.15">
      <c r="B58" s="36" t="s">
        <v>265</v>
      </c>
      <c r="C58" s="362"/>
      <c r="D58" s="369"/>
      <c r="E58" s="370"/>
      <c r="F58" s="39" t="s">
        <v>266</v>
      </c>
      <c r="G58" s="39" t="s">
        <v>267</v>
      </c>
      <c r="H58" s="40" t="s">
        <v>231</v>
      </c>
      <c r="I58" s="53" t="s">
        <v>257</v>
      </c>
      <c r="J58" s="86">
        <v>4400289484</v>
      </c>
      <c r="K58" s="71" t="s">
        <v>43</v>
      </c>
      <c r="L58" s="23" t="s">
        <v>54</v>
      </c>
      <c r="M58" s="77">
        <v>15892.26</v>
      </c>
      <c r="N58" s="77" t="s">
        <v>39</v>
      </c>
      <c r="O58" s="88">
        <v>43514</v>
      </c>
      <c r="P58" s="88">
        <v>43534</v>
      </c>
      <c r="Q58" s="89">
        <f t="shared" si="0"/>
        <v>21</v>
      </c>
      <c r="R58" s="30" t="s">
        <v>56</v>
      </c>
      <c r="S58" s="39" t="s">
        <v>46</v>
      </c>
      <c r="T58" s="40" t="s">
        <v>46</v>
      </c>
      <c r="U58" s="47" t="s">
        <v>258</v>
      </c>
      <c r="V58" s="48" t="s">
        <v>259</v>
      </c>
      <c r="W58" s="81" t="s">
        <v>260</v>
      </c>
      <c r="X58" s="82" t="s">
        <v>261</v>
      </c>
    </row>
    <row r="59" spans="2:24" s="35" customFormat="1" ht="46" customHeight="1" x14ac:dyDescent="0.15">
      <c r="B59" s="36" t="s">
        <v>268</v>
      </c>
      <c r="C59" s="362"/>
      <c r="D59" s="369"/>
      <c r="E59" s="370"/>
      <c r="F59" s="39" t="s">
        <v>269</v>
      </c>
      <c r="G59" s="39" t="s">
        <v>269</v>
      </c>
      <c r="H59" s="40" t="s">
        <v>231</v>
      </c>
      <c r="I59" s="53" t="s">
        <v>257</v>
      </c>
      <c r="J59" s="86">
        <v>4400289497</v>
      </c>
      <c r="K59" s="71" t="s">
        <v>43</v>
      </c>
      <c r="L59" s="23" t="s">
        <v>38</v>
      </c>
      <c r="M59" s="87">
        <f>71690.38/N4</f>
        <v>20695.837182448038</v>
      </c>
      <c r="N59" s="87" t="s">
        <v>39</v>
      </c>
      <c r="O59" s="88">
        <v>43514</v>
      </c>
      <c r="P59" s="88">
        <v>43554</v>
      </c>
      <c r="Q59" s="89">
        <f t="shared" si="0"/>
        <v>41</v>
      </c>
      <c r="R59" s="30" t="s">
        <v>56</v>
      </c>
      <c r="S59" s="39" t="s">
        <v>46</v>
      </c>
      <c r="T59" s="40" t="s">
        <v>46</v>
      </c>
      <c r="U59" s="47" t="s">
        <v>258</v>
      </c>
      <c r="V59" s="48" t="s">
        <v>259</v>
      </c>
      <c r="W59" s="81" t="s">
        <v>260</v>
      </c>
      <c r="X59" s="82" t="s">
        <v>261</v>
      </c>
    </row>
    <row r="60" spans="2:24" s="35" customFormat="1" ht="46" customHeight="1" x14ac:dyDescent="0.15">
      <c r="B60" s="36" t="s">
        <v>270</v>
      </c>
      <c r="C60" s="362"/>
      <c r="D60" s="369"/>
      <c r="E60" s="370"/>
      <c r="F60" s="39" t="s">
        <v>271</v>
      </c>
      <c r="G60" s="39" t="s">
        <v>272</v>
      </c>
      <c r="H60" s="40" t="s">
        <v>231</v>
      </c>
      <c r="I60" s="53" t="s">
        <v>257</v>
      </c>
      <c r="J60" s="86">
        <v>4400294047</v>
      </c>
      <c r="K60" s="71" t="s">
        <v>43</v>
      </c>
      <c r="L60" s="23" t="s">
        <v>38</v>
      </c>
      <c r="M60" s="87">
        <f>7242.75/N4</f>
        <v>2090.8631639722862</v>
      </c>
      <c r="N60" s="87" t="s">
        <v>39</v>
      </c>
      <c r="O60" s="88">
        <v>43539</v>
      </c>
      <c r="P60" s="88">
        <v>43585</v>
      </c>
      <c r="Q60" s="89">
        <f t="shared" si="0"/>
        <v>47</v>
      </c>
      <c r="R60" s="30" t="s">
        <v>56</v>
      </c>
      <c r="S60" s="39" t="s">
        <v>46</v>
      </c>
      <c r="T60" s="40" t="s">
        <v>46</v>
      </c>
      <c r="U60" s="47" t="s">
        <v>258</v>
      </c>
      <c r="V60" s="48" t="s">
        <v>259</v>
      </c>
      <c r="W60" s="81" t="s">
        <v>260</v>
      </c>
      <c r="X60" s="82" t="s">
        <v>261</v>
      </c>
    </row>
    <row r="61" spans="2:24" s="35" customFormat="1" ht="46" customHeight="1" x14ac:dyDescent="0.15">
      <c r="B61" s="36" t="s">
        <v>273</v>
      </c>
      <c r="C61" s="362"/>
      <c r="D61" s="369"/>
      <c r="E61" s="370"/>
      <c r="F61" s="39" t="s">
        <v>274</v>
      </c>
      <c r="G61" s="39" t="s">
        <v>275</v>
      </c>
      <c r="H61" s="40" t="s">
        <v>231</v>
      </c>
      <c r="I61" s="53" t="s">
        <v>257</v>
      </c>
      <c r="J61" s="86">
        <v>4400294711</v>
      </c>
      <c r="K61" s="71" t="s">
        <v>43</v>
      </c>
      <c r="L61" s="23" t="s">
        <v>38</v>
      </c>
      <c r="M61" s="87">
        <f>41685.09/N4</f>
        <v>12033.801963048498</v>
      </c>
      <c r="N61" s="87" t="s">
        <v>39</v>
      </c>
      <c r="O61" s="88">
        <v>43544</v>
      </c>
      <c r="P61" s="88">
        <v>43585</v>
      </c>
      <c r="Q61" s="89">
        <f t="shared" si="0"/>
        <v>42</v>
      </c>
      <c r="R61" s="30" t="s">
        <v>56</v>
      </c>
      <c r="S61" s="39" t="s">
        <v>46</v>
      </c>
      <c r="T61" s="40" t="s">
        <v>46</v>
      </c>
      <c r="U61" s="47" t="s">
        <v>258</v>
      </c>
      <c r="V61" s="48" t="s">
        <v>259</v>
      </c>
      <c r="W61" s="81" t="s">
        <v>260</v>
      </c>
      <c r="X61" s="82" t="s">
        <v>261</v>
      </c>
    </row>
    <row r="62" spans="2:24" s="35" customFormat="1" ht="46" customHeight="1" x14ac:dyDescent="0.15">
      <c r="B62" s="36" t="s">
        <v>276</v>
      </c>
      <c r="C62" s="362"/>
      <c r="D62" s="369"/>
      <c r="E62" s="370"/>
      <c r="F62" s="39" t="s">
        <v>277</v>
      </c>
      <c r="G62" s="39" t="s">
        <v>277</v>
      </c>
      <c r="H62" s="40" t="s">
        <v>231</v>
      </c>
      <c r="I62" s="53" t="s">
        <v>257</v>
      </c>
      <c r="J62" s="86">
        <v>4400298786</v>
      </c>
      <c r="K62" s="71" t="s">
        <v>43</v>
      </c>
      <c r="L62" s="23" t="s">
        <v>54</v>
      </c>
      <c r="M62" s="77">
        <v>8157.34</v>
      </c>
      <c r="N62" s="77" t="s">
        <v>39</v>
      </c>
      <c r="O62" s="88">
        <v>43579</v>
      </c>
      <c r="P62" s="88">
        <v>43677</v>
      </c>
      <c r="Q62" s="89">
        <f t="shared" si="0"/>
        <v>99</v>
      </c>
      <c r="R62" s="30" t="s">
        <v>56</v>
      </c>
      <c r="S62" s="39" t="s">
        <v>46</v>
      </c>
      <c r="T62" s="40" t="s">
        <v>46</v>
      </c>
      <c r="U62" s="47" t="s">
        <v>258</v>
      </c>
      <c r="V62" s="48" t="s">
        <v>259</v>
      </c>
      <c r="W62" s="81" t="s">
        <v>260</v>
      </c>
      <c r="X62" s="82" t="s">
        <v>261</v>
      </c>
    </row>
    <row r="63" spans="2:24" s="35" customFormat="1" ht="46" customHeight="1" x14ac:dyDescent="0.15">
      <c r="B63" s="36" t="s">
        <v>278</v>
      </c>
      <c r="C63" s="362"/>
      <c r="D63" s="369"/>
      <c r="E63" s="370"/>
      <c r="F63" s="39" t="s">
        <v>279</v>
      </c>
      <c r="G63" s="39" t="s">
        <v>280</v>
      </c>
      <c r="H63" s="40" t="s">
        <v>231</v>
      </c>
      <c r="I63" s="53" t="s">
        <v>257</v>
      </c>
      <c r="J63" s="86">
        <v>4400300353</v>
      </c>
      <c r="K63" s="71" t="s">
        <v>43</v>
      </c>
      <c r="L63" s="23" t="s">
        <v>54</v>
      </c>
      <c r="M63" s="77">
        <v>18424.61</v>
      </c>
      <c r="N63" s="77" t="s">
        <v>39</v>
      </c>
      <c r="O63" s="88">
        <v>43592</v>
      </c>
      <c r="P63" s="88">
        <v>43613</v>
      </c>
      <c r="Q63" s="89">
        <f t="shared" si="0"/>
        <v>22</v>
      </c>
      <c r="R63" s="30" t="s">
        <v>56</v>
      </c>
      <c r="S63" s="39" t="s">
        <v>46</v>
      </c>
      <c r="T63" s="40" t="s">
        <v>46</v>
      </c>
      <c r="U63" s="90" t="s">
        <v>281</v>
      </c>
      <c r="V63" s="48" t="s">
        <v>259</v>
      </c>
      <c r="W63" s="81" t="s">
        <v>282</v>
      </c>
      <c r="X63" s="91" t="s">
        <v>283</v>
      </c>
    </row>
    <row r="64" spans="2:24" s="35" customFormat="1" ht="46" customHeight="1" x14ac:dyDescent="0.15">
      <c r="B64" s="36" t="s">
        <v>284</v>
      </c>
      <c r="C64" s="362"/>
      <c r="D64" s="369"/>
      <c r="E64" s="370"/>
      <c r="F64" s="39" t="s">
        <v>285</v>
      </c>
      <c r="G64" s="39" t="s">
        <v>286</v>
      </c>
      <c r="H64" s="40" t="s">
        <v>231</v>
      </c>
      <c r="I64" s="53" t="s">
        <v>257</v>
      </c>
      <c r="J64" s="86">
        <v>4400302054</v>
      </c>
      <c r="K64" s="71" t="s">
        <v>43</v>
      </c>
      <c r="L64" s="23" t="s">
        <v>54</v>
      </c>
      <c r="M64" s="77">
        <f>9651.14+10499.66</f>
        <v>20150.8</v>
      </c>
      <c r="N64" s="77" t="s">
        <v>39</v>
      </c>
      <c r="O64" s="88">
        <v>43602</v>
      </c>
      <c r="P64" s="88">
        <v>43621</v>
      </c>
      <c r="Q64" s="89">
        <f t="shared" si="0"/>
        <v>20</v>
      </c>
      <c r="R64" s="30" t="s">
        <v>56</v>
      </c>
      <c r="S64" s="39" t="s">
        <v>46</v>
      </c>
      <c r="T64" s="40" t="s">
        <v>46</v>
      </c>
      <c r="U64" s="90" t="s">
        <v>281</v>
      </c>
      <c r="V64" s="48" t="s">
        <v>259</v>
      </c>
      <c r="W64" s="81" t="s">
        <v>282</v>
      </c>
      <c r="X64" s="91" t="s">
        <v>283</v>
      </c>
    </row>
    <row r="65" spans="2:24" s="35" customFormat="1" ht="46" customHeight="1" x14ac:dyDescent="0.15">
      <c r="B65" s="36" t="s">
        <v>287</v>
      </c>
      <c r="C65" s="362"/>
      <c r="D65" s="369"/>
      <c r="E65" s="370"/>
      <c r="F65" s="39" t="s">
        <v>288</v>
      </c>
      <c r="G65" s="39" t="s">
        <v>277</v>
      </c>
      <c r="H65" s="40" t="s">
        <v>231</v>
      </c>
      <c r="I65" s="53" t="s">
        <v>257</v>
      </c>
      <c r="J65" s="86">
        <v>4400305859</v>
      </c>
      <c r="K65" s="71" t="s">
        <v>43</v>
      </c>
      <c r="L65" s="23" t="s">
        <v>54</v>
      </c>
      <c r="M65" s="77">
        <v>8157.34</v>
      </c>
      <c r="N65" s="77" t="s">
        <v>39</v>
      </c>
      <c r="O65" s="88">
        <v>43629</v>
      </c>
      <c r="P65" s="88">
        <v>43661</v>
      </c>
      <c r="Q65" s="89">
        <f t="shared" si="0"/>
        <v>33</v>
      </c>
      <c r="R65" s="30" t="s">
        <v>56</v>
      </c>
      <c r="S65" s="39" t="s">
        <v>46</v>
      </c>
      <c r="T65" s="40" t="s">
        <v>46</v>
      </c>
      <c r="U65" s="90" t="s">
        <v>281</v>
      </c>
      <c r="V65" s="48" t="s">
        <v>259</v>
      </c>
      <c r="W65" s="81" t="s">
        <v>282</v>
      </c>
      <c r="X65" s="91" t="s">
        <v>283</v>
      </c>
    </row>
    <row r="66" spans="2:24" s="35" customFormat="1" ht="46" customHeight="1" x14ac:dyDescent="0.15">
      <c r="B66" s="36" t="s">
        <v>289</v>
      </c>
      <c r="C66" s="362"/>
      <c r="D66" s="369"/>
      <c r="E66" s="370"/>
      <c r="F66" s="39" t="s">
        <v>274</v>
      </c>
      <c r="G66" s="39" t="s">
        <v>275</v>
      </c>
      <c r="H66" s="40" t="s">
        <v>231</v>
      </c>
      <c r="I66" s="53" t="s">
        <v>257</v>
      </c>
      <c r="J66" s="86">
        <v>4400307335</v>
      </c>
      <c r="K66" s="71" t="s">
        <v>43</v>
      </c>
      <c r="L66" s="23" t="s">
        <v>54</v>
      </c>
      <c r="M66" s="77">
        <v>41685.089999999997</v>
      </c>
      <c r="N66" s="77" t="s">
        <v>39</v>
      </c>
      <c r="O66" s="88">
        <v>43640</v>
      </c>
      <c r="P66" s="88">
        <v>43676</v>
      </c>
      <c r="Q66" s="89">
        <f t="shared" si="0"/>
        <v>37</v>
      </c>
      <c r="R66" s="30" t="s">
        <v>56</v>
      </c>
      <c r="S66" s="39" t="s">
        <v>46</v>
      </c>
      <c r="T66" s="40" t="s">
        <v>46</v>
      </c>
      <c r="U66" s="90" t="s">
        <v>281</v>
      </c>
      <c r="V66" s="48" t="s">
        <v>259</v>
      </c>
      <c r="W66" s="81" t="s">
        <v>282</v>
      </c>
      <c r="X66" s="91" t="s">
        <v>283</v>
      </c>
    </row>
    <row r="67" spans="2:24" s="35" customFormat="1" ht="46" customHeight="1" x14ac:dyDescent="0.15">
      <c r="B67" s="36" t="s">
        <v>290</v>
      </c>
      <c r="C67" s="362"/>
      <c r="D67" s="369"/>
      <c r="E67" s="370"/>
      <c r="F67" s="39" t="s">
        <v>291</v>
      </c>
      <c r="G67" s="39" t="s">
        <v>292</v>
      </c>
      <c r="H67" s="40" t="s">
        <v>231</v>
      </c>
      <c r="I67" s="53" t="s">
        <v>257</v>
      </c>
      <c r="J67" s="86">
        <v>4400307388</v>
      </c>
      <c r="K67" s="71" t="s">
        <v>43</v>
      </c>
      <c r="L67" s="23" t="s">
        <v>54</v>
      </c>
      <c r="M67" s="77">
        <v>15458.41</v>
      </c>
      <c r="N67" s="77" t="s">
        <v>39</v>
      </c>
      <c r="O67" s="88">
        <v>43640</v>
      </c>
      <c r="P67" s="88">
        <v>43656</v>
      </c>
      <c r="Q67" s="89">
        <f t="shared" si="0"/>
        <v>17</v>
      </c>
      <c r="R67" s="30" t="s">
        <v>56</v>
      </c>
      <c r="S67" s="39" t="s">
        <v>46</v>
      </c>
      <c r="T67" s="40" t="s">
        <v>46</v>
      </c>
      <c r="U67" s="90" t="s">
        <v>281</v>
      </c>
      <c r="V67" s="48" t="s">
        <v>259</v>
      </c>
      <c r="W67" s="81" t="s">
        <v>282</v>
      </c>
      <c r="X67" s="91" t="s">
        <v>283</v>
      </c>
    </row>
    <row r="68" spans="2:24" s="35" customFormat="1" ht="46" customHeight="1" x14ac:dyDescent="0.15">
      <c r="B68" s="36" t="s">
        <v>293</v>
      </c>
      <c r="C68" s="362"/>
      <c r="D68" s="369"/>
      <c r="E68" s="370"/>
      <c r="F68" s="39" t="s">
        <v>43</v>
      </c>
      <c r="G68" s="39" t="s">
        <v>43</v>
      </c>
      <c r="H68" s="40" t="s">
        <v>231</v>
      </c>
      <c r="I68" s="53" t="s">
        <v>257</v>
      </c>
      <c r="J68" s="86">
        <v>4400310466</v>
      </c>
      <c r="K68" s="71" t="s">
        <v>43</v>
      </c>
      <c r="L68" s="23" t="s">
        <v>43</v>
      </c>
      <c r="M68" s="23" t="s">
        <v>43</v>
      </c>
      <c r="N68" s="23" t="s">
        <v>39</v>
      </c>
      <c r="O68" s="92" t="s">
        <v>43</v>
      </c>
      <c r="P68" s="92" t="s">
        <v>43</v>
      </c>
      <c r="Q68" s="92" t="s">
        <v>43</v>
      </c>
      <c r="R68" s="30" t="s">
        <v>56</v>
      </c>
      <c r="S68" s="39" t="s">
        <v>46</v>
      </c>
      <c r="T68" s="40" t="s">
        <v>46</v>
      </c>
      <c r="U68" s="90" t="s">
        <v>43</v>
      </c>
      <c r="V68" s="48" t="s">
        <v>43</v>
      </c>
      <c r="W68" s="81" t="s">
        <v>43</v>
      </c>
      <c r="X68" s="91" t="s">
        <v>43</v>
      </c>
    </row>
    <row r="69" spans="2:24" s="35" customFormat="1" ht="46" customHeight="1" x14ac:dyDescent="0.15">
      <c r="B69" s="36" t="s">
        <v>294</v>
      </c>
      <c r="C69" s="362"/>
      <c r="D69" s="369"/>
      <c r="E69" s="370"/>
      <c r="F69" s="39" t="s">
        <v>295</v>
      </c>
      <c r="G69" s="39" t="s">
        <v>296</v>
      </c>
      <c r="H69" s="40" t="s">
        <v>231</v>
      </c>
      <c r="I69" s="53" t="s">
        <v>257</v>
      </c>
      <c r="J69" s="86">
        <v>4400310505</v>
      </c>
      <c r="K69" s="71" t="s">
        <v>43</v>
      </c>
      <c r="L69" s="23" t="s">
        <v>54</v>
      </c>
      <c r="M69" s="77">
        <v>16922.62</v>
      </c>
      <c r="N69" s="77" t="s">
        <v>39</v>
      </c>
      <c r="O69" s="88">
        <v>43662</v>
      </c>
      <c r="P69" s="88">
        <v>43672</v>
      </c>
      <c r="Q69" s="89">
        <f t="shared" ref="Q69:Q77" si="1">P69-O69+1</f>
        <v>11</v>
      </c>
      <c r="R69" s="30" t="s">
        <v>56</v>
      </c>
      <c r="S69" s="39" t="s">
        <v>46</v>
      </c>
      <c r="T69" s="40" t="s">
        <v>46</v>
      </c>
      <c r="U69" s="90" t="s">
        <v>281</v>
      </c>
      <c r="V69" s="48" t="s">
        <v>259</v>
      </c>
      <c r="W69" s="81" t="s">
        <v>282</v>
      </c>
      <c r="X69" s="91" t="s">
        <v>283</v>
      </c>
    </row>
    <row r="70" spans="2:24" s="35" customFormat="1" ht="46" customHeight="1" x14ac:dyDescent="0.15">
      <c r="B70" s="36" t="s">
        <v>297</v>
      </c>
      <c r="C70" s="362"/>
      <c r="D70" s="369"/>
      <c r="E70" s="370"/>
      <c r="F70" s="39" t="s">
        <v>298</v>
      </c>
      <c r="G70" s="39" t="s">
        <v>299</v>
      </c>
      <c r="H70" s="40" t="s">
        <v>231</v>
      </c>
      <c r="I70" s="53" t="s">
        <v>257</v>
      </c>
      <c r="J70" s="86">
        <v>4400315811</v>
      </c>
      <c r="K70" s="71" t="s">
        <v>43</v>
      </c>
      <c r="L70" s="23" t="s">
        <v>54</v>
      </c>
      <c r="M70" s="77">
        <v>32266.92</v>
      </c>
      <c r="N70" s="77" t="s">
        <v>39</v>
      </c>
      <c r="O70" s="88">
        <v>43699</v>
      </c>
      <c r="P70" s="88">
        <v>43730</v>
      </c>
      <c r="Q70" s="89">
        <f t="shared" si="1"/>
        <v>32</v>
      </c>
      <c r="R70" s="30" t="s">
        <v>56</v>
      </c>
      <c r="S70" s="39" t="s">
        <v>46</v>
      </c>
      <c r="T70" s="40" t="s">
        <v>46</v>
      </c>
      <c r="U70" s="90" t="s">
        <v>300</v>
      </c>
      <c r="V70" s="48" t="s">
        <v>259</v>
      </c>
      <c r="W70" s="81" t="s">
        <v>301</v>
      </c>
      <c r="X70" s="91" t="s">
        <v>302</v>
      </c>
    </row>
    <row r="71" spans="2:24" s="35" customFormat="1" ht="46" customHeight="1" x14ac:dyDescent="0.15">
      <c r="B71" s="36" t="s">
        <v>303</v>
      </c>
      <c r="C71" s="362"/>
      <c r="D71" s="369"/>
      <c r="E71" s="370"/>
      <c r="F71" s="39" t="s">
        <v>304</v>
      </c>
      <c r="G71" s="39" t="s">
        <v>305</v>
      </c>
      <c r="H71" s="40" t="s">
        <v>231</v>
      </c>
      <c r="I71" s="53" t="s">
        <v>257</v>
      </c>
      <c r="J71" s="86">
        <v>4400317222</v>
      </c>
      <c r="K71" s="71" t="s">
        <v>43</v>
      </c>
      <c r="L71" s="23" t="s">
        <v>54</v>
      </c>
      <c r="M71" s="77">
        <v>5411.83</v>
      </c>
      <c r="N71" s="77" t="s">
        <v>39</v>
      </c>
      <c r="O71" s="88">
        <v>43710</v>
      </c>
      <c r="P71" s="88" t="s">
        <v>306</v>
      </c>
      <c r="Q71" s="89">
        <f t="shared" si="1"/>
        <v>15</v>
      </c>
      <c r="R71" s="30" t="s">
        <v>56</v>
      </c>
      <c r="S71" s="39" t="s">
        <v>46</v>
      </c>
      <c r="T71" s="40" t="s">
        <v>46</v>
      </c>
      <c r="U71" s="90" t="s">
        <v>281</v>
      </c>
      <c r="V71" s="48" t="s">
        <v>259</v>
      </c>
      <c r="W71" s="81" t="s">
        <v>282</v>
      </c>
      <c r="X71" s="91" t="s">
        <v>283</v>
      </c>
    </row>
    <row r="72" spans="2:24" s="35" customFormat="1" ht="46" customHeight="1" x14ac:dyDescent="0.15">
      <c r="B72" s="36" t="s">
        <v>307</v>
      </c>
      <c r="C72" s="362"/>
      <c r="D72" s="369"/>
      <c r="E72" s="370"/>
      <c r="F72" s="39" t="s">
        <v>308</v>
      </c>
      <c r="G72" s="39" t="s">
        <v>309</v>
      </c>
      <c r="H72" s="40" t="s">
        <v>231</v>
      </c>
      <c r="I72" s="53" t="s">
        <v>257</v>
      </c>
      <c r="J72" s="86">
        <v>4400317266</v>
      </c>
      <c r="K72" s="71" t="s">
        <v>43</v>
      </c>
      <c r="L72" s="43" t="s">
        <v>38</v>
      </c>
      <c r="M72" s="87">
        <f>69480.31/N4</f>
        <v>20057.826212471133</v>
      </c>
      <c r="N72" s="87" t="s">
        <v>39</v>
      </c>
      <c r="O72" s="88">
        <v>43710</v>
      </c>
      <c r="P72" s="88">
        <v>43723</v>
      </c>
      <c r="Q72" s="89">
        <f t="shared" si="1"/>
        <v>14</v>
      </c>
      <c r="R72" s="30" t="s">
        <v>56</v>
      </c>
      <c r="S72" s="39" t="s">
        <v>46</v>
      </c>
      <c r="T72" s="40" t="s">
        <v>46</v>
      </c>
      <c r="U72" s="90" t="s">
        <v>281</v>
      </c>
      <c r="V72" s="48" t="s">
        <v>259</v>
      </c>
      <c r="W72" s="81" t="s">
        <v>282</v>
      </c>
      <c r="X72" s="91" t="s">
        <v>283</v>
      </c>
    </row>
    <row r="73" spans="2:24" s="35" customFormat="1" ht="46" customHeight="1" x14ac:dyDescent="0.15">
      <c r="B73" s="36" t="s">
        <v>310</v>
      </c>
      <c r="C73" s="362"/>
      <c r="D73" s="369"/>
      <c r="E73" s="370"/>
      <c r="F73" s="39" t="s">
        <v>311</v>
      </c>
      <c r="G73" s="39" t="s">
        <v>312</v>
      </c>
      <c r="H73" s="40" t="s">
        <v>231</v>
      </c>
      <c r="I73" s="53" t="s">
        <v>257</v>
      </c>
      <c r="J73" s="93">
        <v>4400318269</v>
      </c>
      <c r="K73" s="71" t="s">
        <v>43</v>
      </c>
      <c r="L73" s="23" t="s">
        <v>54</v>
      </c>
      <c r="M73" s="77">
        <v>8872.5</v>
      </c>
      <c r="N73" s="77" t="s">
        <v>39</v>
      </c>
      <c r="O73" s="88">
        <v>43717</v>
      </c>
      <c r="P73" s="88">
        <v>43728</v>
      </c>
      <c r="Q73" s="89">
        <f t="shared" si="1"/>
        <v>12</v>
      </c>
      <c r="R73" s="30" t="s">
        <v>56</v>
      </c>
      <c r="S73" s="39" t="s">
        <v>46</v>
      </c>
      <c r="T73" s="40" t="s">
        <v>46</v>
      </c>
      <c r="U73" s="90" t="s">
        <v>281</v>
      </c>
      <c r="V73" s="48" t="s">
        <v>259</v>
      </c>
      <c r="W73" s="81" t="s">
        <v>282</v>
      </c>
      <c r="X73" s="91" t="s">
        <v>283</v>
      </c>
    </row>
    <row r="74" spans="2:24" s="35" customFormat="1" ht="46" customHeight="1" x14ac:dyDescent="0.15">
      <c r="B74" s="36" t="s">
        <v>313</v>
      </c>
      <c r="C74" s="362"/>
      <c r="D74" s="369"/>
      <c r="E74" s="370"/>
      <c r="F74" s="39" t="s">
        <v>314</v>
      </c>
      <c r="G74" s="39" t="s">
        <v>315</v>
      </c>
      <c r="H74" s="40" t="s">
        <v>231</v>
      </c>
      <c r="I74" s="53" t="s">
        <v>257</v>
      </c>
      <c r="J74" s="93">
        <v>4400320809</v>
      </c>
      <c r="K74" s="71" t="s">
        <v>43</v>
      </c>
      <c r="L74" s="23" t="s">
        <v>54</v>
      </c>
      <c r="M74" s="77">
        <v>19966.34</v>
      </c>
      <c r="N74" s="77" t="s">
        <v>39</v>
      </c>
      <c r="O74" s="88">
        <v>43735</v>
      </c>
      <c r="P74" s="88">
        <v>43746</v>
      </c>
      <c r="Q74" s="89">
        <f t="shared" si="1"/>
        <v>12</v>
      </c>
      <c r="R74" s="30" t="s">
        <v>56</v>
      </c>
      <c r="S74" s="39" t="s">
        <v>46</v>
      </c>
      <c r="T74" s="40" t="s">
        <v>46</v>
      </c>
      <c r="U74" s="90" t="s">
        <v>281</v>
      </c>
      <c r="V74" s="48" t="s">
        <v>259</v>
      </c>
      <c r="W74" s="81" t="s">
        <v>282</v>
      </c>
      <c r="X74" s="91" t="s">
        <v>283</v>
      </c>
    </row>
    <row r="75" spans="2:24" s="35" customFormat="1" ht="46" customHeight="1" x14ac:dyDescent="0.15">
      <c r="B75" s="36" t="s">
        <v>316</v>
      </c>
      <c r="C75" s="362"/>
      <c r="D75" s="354"/>
      <c r="E75" s="356"/>
      <c r="F75" s="39" t="s">
        <v>317</v>
      </c>
      <c r="G75" s="39" t="s">
        <v>318</v>
      </c>
      <c r="H75" s="40" t="s">
        <v>231</v>
      </c>
      <c r="I75" s="53" t="s">
        <v>257</v>
      </c>
      <c r="J75" s="93">
        <v>4400334004</v>
      </c>
      <c r="K75" s="71" t="s">
        <v>43</v>
      </c>
      <c r="L75" s="23" t="s">
        <v>54</v>
      </c>
      <c r="M75" s="77">
        <v>20817.990000000002</v>
      </c>
      <c r="N75" s="77" t="s">
        <v>39</v>
      </c>
      <c r="O75" s="94">
        <v>43836</v>
      </c>
      <c r="P75" s="94">
        <v>43890</v>
      </c>
      <c r="Q75" s="89">
        <f t="shared" si="1"/>
        <v>55</v>
      </c>
      <c r="R75" s="30" t="s">
        <v>56</v>
      </c>
      <c r="S75" s="39" t="s">
        <v>46</v>
      </c>
      <c r="T75" s="40" t="s">
        <v>46</v>
      </c>
      <c r="U75" s="90" t="s">
        <v>281</v>
      </c>
      <c r="V75" s="48" t="s">
        <v>259</v>
      </c>
      <c r="W75" s="81" t="s">
        <v>319</v>
      </c>
      <c r="X75" s="91" t="s">
        <v>283</v>
      </c>
    </row>
    <row r="76" spans="2:24" s="35" customFormat="1" ht="150" customHeight="1" x14ac:dyDescent="0.15">
      <c r="B76" s="36">
        <v>47</v>
      </c>
      <c r="C76" s="362"/>
      <c r="D76" s="64" t="s">
        <v>46</v>
      </c>
      <c r="E76" s="38" t="s">
        <v>320</v>
      </c>
      <c r="F76" s="39" t="s">
        <v>70</v>
      </c>
      <c r="G76" s="39" t="s">
        <v>321</v>
      </c>
      <c r="H76" s="40" t="s">
        <v>322</v>
      </c>
      <c r="I76" s="41" t="s">
        <v>323</v>
      </c>
      <c r="J76" s="93" t="s">
        <v>324</v>
      </c>
      <c r="K76" s="42" t="s">
        <v>74</v>
      </c>
      <c r="L76" s="43" t="s">
        <v>38</v>
      </c>
      <c r="M76" s="87">
        <f>1172654.51/N4</f>
        <v>338526.12875288684</v>
      </c>
      <c r="N76" s="87">
        <f>1172654.51/N4</f>
        <v>338526.12875288684</v>
      </c>
      <c r="O76" s="45">
        <v>43346</v>
      </c>
      <c r="P76" s="45">
        <v>43506</v>
      </c>
      <c r="Q76" s="95">
        <f t="shared" si="1"/>
        <v>161</v>
      </c>
      <c r="R76" s="30" t="s">
        <v>56</v>
      </c>
      <c r="S76" s="39" t="s">
        <v>46</v>
      </c>
      <c r="T76" s="40" t="s">
        <v>46</v>
      </c>
      <c r="U76" s="96" t="s">
        <v>325</v>
      </c>
      <c r="V76" s="49"/>
      <c r="W76" s="97"/>
      <c r="X76" s="98" t="s">
        <v>326</v>
      </c>
    </row>
    <row r="77" spans="2:24" s="35" customFormat="1" ht="119" x14ac:dyDescent="0.15">
      <c r="B77" s="364">
        <v>23</v>
      </c>
      <c r="C77" s="362"/>
      <c r="D77" s="353" t="s">
        <v>327</v>
      </c>
      <c r="E77" s="355" t="s">
        <v>328</v>
      </c>
      <c r="F77" s="366" t="s">
        <v>70</v>
      </c>
      <c r="G77" s="39" t="s">
        <v>329</v>
      </c>
      <c r="H77" s="357" t="s">
        <v>231</v>
      </c>
      <c r="I77" s="41" t="s">
        <v>330</v>
      </c>
      <c r="J77" s="419" t="s">
        <v>331</v>
      </c>
      <c r="K77" s="42" t="s">
        <v>43</v>
      </c>
      <c r="L77" s="23" t="s">
        <v>38</v>
      </c>
      <c r="M77" s="62">
        <f>58706695/N4</f>
        <v>16947660.219399538</v>
      </c>
      <c r="N77" s="99" t="s">
        <v>43</v>
      </c>
      <c r="O77" s="56">
        <v>42576</v>
      </c>
      <c r="P77" s="56">
        <v>43305</v>
      </c>
      <c r="Q77" s="343">
        <f t="shared" si="1"/>
        <v>730</v>
      </c>
      <c r="R77" s="30" t="s">
        <v>56</v>
      </c>
      <c r="S77" s="39" t="s">
        <v>46</v>
      </c>
      <c r="T77" s="40" t="s">
        <v>46</v>
      </c>
      <c r="U77" s="47" t="s">
        <v>332</v>
      </c>
      <c r="V77" s="48" t="s">
        <v>333</v>
      </c>
      <c r="W77" s="81" t="s">
        <v>334</v>
      </c>
      <c r="X77" s="82" t="s">
        <v>335</v>
      </c>
    </row>
    <row r="78" spans="2:24" s="35" customFormat="1" ht="51" x14ac:dyDescent="0.15">
      <c r="B78" s="408"/>
      <c r="C78" s="362"/>
      <c r="D78" s="369"/>
      <c r="E78" s="370"/>
      <c r="F78" s="409"/>
      <c r="G78" s="100" t="s">
        <v>336</v>
      </c>
      <c r="H78" s="389"/>
      <c r="I78" s="41" t="s">
        <v>337</v>
      </c>
      <c r="J78" s="420"/>
      <c r="K78" s="42" t="s">
        <v>43</v>
      </c>
      <c r="L78" s="23" t="s">
        <v>38</v>
      </c>
      <c r="M78" s="62">
        <f>2608362/N4</f>
        <v>752991.33949191682</v>
      </c>
      <c r="N78" s="99" t="s">
        <v>43</v>
      </c>
      <c r="O78" s="56">
        <v>42678</v>
      </c>
      <c r="P78" s="56">
        <v>42794</v>
      </c>
      <c r="Q78" s="418"/>
      <c r="R78" s="30" t="s">
        <v>56</v>
      </c>
      <c r="S78" s="39" t="s">
        <v>46</v>
      </c>
      <c r="T78" s="40" t="s">
        <v>46</v>
      </c>
      <c r="U78" s="47" t="s">
        <v>338</v>
      </c>
      <c r="V78" s="48" t="s">
        <v>339</v>
      </c>
      <c r="W78" s="49"/>
      <c r="X78" s="50"/>
    </row>
    <row r="79" spans="2:24" s="35" customFormat="1" ht="30" customHeight="1" x14ac:dyDescent="0.15">
      <c r="B79" s="408"/>
      <c r="C79" s="362"/>
      <c r="D79" s="369"/>
      <c r="E79" s="370"/>
      <c r="F79" s="409"/>
      <c r="G79" s="101" t="s">
        <v>43</v>
      </c>
      <c r="H79" s="389"/>
      <c r="I79" s="41" t="s">
        <v>101</v>
      </c>
      <c r="J79" s="420"/>
      <c r="K79" s="42" t="s">
        <v>43</v>
      </c>
      <c r="L79" s="23" t="s">
        <v>38</v>
      </c>
      <c r="M79" s="62">
        <f>3798607/N4</f>
        <v>1096595.5542725173</v>
      </c>
      <c r="N79" s="99" t="s">
        <v>43</v>
      </c>
      <c r="O79" s="56">
        <v>42809</v>
      </c>
      <c r="P79" s="56">
        <v>42930</v>
      </c>
      <c r="Q79" s="418"/>
      <c r="R79" s="30" t="s">
        <v>56</v>
      </c>
      <c r="S79" s="39" t="s">
        <v>46</v>
      </c>
      <c r="T79" s="40" t="s">
        <v>46</v>
      </c>
      <c r="U79" s="47" t="s">
        <v>338</v>
      </c>
      <c r="V79" s="48" t="s">
        <v>339</v>
      </c>
      <c r="W79" s="49"/>
      <c r="X79" s="50"/>
    </row>
    <row r="80" spans="2:24" s="35" customFormat="1" ht="30" customHeight="1" x14ac:dyDescent="0.15">
      <c r="B80" s="408"/>
      <c r="C80" s="362"/>
      <c r="D80" s="369"/>
      <c r="E80" s="370"/>
      <c r="F80" s="409"/>
      <c r="G80" s="101" t="s">
        <v>43</v>
      </c>
      <c r="H80" s="389"/>
      <c r="I80" s="61" t="s">
        <v>43</v>
      </c>
      <c r="J80" s="420"/>
      <c r="K80" s="42" t="s">
        <v>43</v>
      </c>
      <c r="L80" s="43" t="s">
        <v>38</v>
      </c>
      <c r="M80" s="44">
        <v>0</v>
      </c>
      <c r="N80" s="99" t="s">
        <v>43</v>
      </c>
      <c r="O80" s="88" t="s">
        <v>43</v>
      </c>
      <c r="P80" s="88" t="s">
        <v>43</v>
      </c>
      <c r="Q80" s="418"/>
      <c r="R80" s="30" t="s">
        <v>56</v>
      </c>
      <c r="S80" s="39" t="s">
        <v>46</v>
      </c>
      <c r="T80" s="40" t="s">
        <v>46</v>
      </c>
      <c r="U80" s="47"/>
      <c r="V80" s="48"/>
      <c r="W80" s="49"/>
      <c r="X80" s="50"/>
    </row>
    <row r="81" spans="2:24" s="35" customFormat="1" ht="30" customHeight="1" x14ac:dyDescent="0.15">
      <c r="B81" s="408"/>
      <c r="C81" s="362"/>
      <c r="D81" s="369"/>
      <c r="E81" s="370"/>
      <c r="F81" s="409"/>
      <c r="G81" s="101" t="s">
        <v>43</v>
      </c>
      <c r="H81" s="389"/>
      <c r="I81" s="61" t="s">
        <v>43</v>
      </c>
      <c r="J81" s="420"/>
      <c r="K81" s="42" t="s">
        <v>43</v>
      </c>
      <c r="L81" s="23" t="s">
        <v>38</v>
      </c>
      <c r="M81" s="62">
        <f>-1968188/N4</f>
        <v>-568183.60277136264</v>
      </c>
      <c r="N81" s="99" t="s">
        <v>43</v>
      </c>
      <c r="O81" s="88" t="s">
        <v>43</v>
      </c>
      <c r="P81" s="88" t="s">
        <v>43</v>
      </c>
      <c r="Q81" s="418"/>
      <c r="R81" s="30" t="s">
        <v>56</v>
      </c>
      <c r="S81" s="39" t="s">
        <v>46</v>
      </c>
      <c r="T81" s="40" t="s">
        <v>46</v>
      </c>
      <c r="U81" s="47"/>
      <c r="V81" s="48"/>
      <c r="W81" s="49"/>
      <c r="X81" s="50"/>
    </row>
    <row r="82" spans="2:24" s="35" customFormat="1" ht="30" customHeight="1" x14ac:dyDescent="0.15">
      <c r="B82" s="408"/>
      <c r="C82" s="362"/>
      <c r="D82" s="369"/>
      <c r="E82" s="370"/>
      <c r="F82" s="409"/>
      <c r="G82" s="101" t="s">
        <v>43</v>
      </c>
      <c r="H82" s="389"/>
      <c r="I82" s="61" t="s">
        <v>43</v>
      </c>
      <c r="J82" s="420"/>
      <c r="K82" s="42" t="s">
        <v>43</v>
      </c>
      <c r="L82" s="43" t="s">
        <v>38</v>
      </c>
      <c r="M82" s="44">
        <v>0</v>
      </c>
      <c r="N82" s="99" t="s">
        <v>43</v>
      </c>
      <c r="O82" s="88" t="s">
        <v>43</v>
      </c>
      <c r="P82" s="88" t="s">
        <v>43</v>
      </c>
      <c r="Q82" s="418"/>
      <c r="R82" s="30" t="s">
        <v>56</v>
      </c>
      <c r="S82" s="39" t="s">
        <v>46</v>
      </c>
      <c r="T82" s="40" t="s">
        <v>46</v>
      </c>
      <c r="U82" s="47"/>
      <c r="V82" s="48"/>
      <c r="W82" s="49"/>
      <c r="X82" s="50"/>
    </row>
    <row r="83" spans="2:24" s="35" customFormat="1" ht="30" customHeight="1" x14ac:dyDescent="0.15">
      <c r="B83" s="365"/>
      <c r="C83" s="362"/>
      <c r="D83" s="354"/>
      <c r="E83" s="356"/>
      <c r="F83" s="367"/>
      <c r="G83" s="39" t="s">
        <v>340</v>
      </c>
      <c r="H83" s="358"/>
      <c r="I83" s="41" t="s">
        <v>341</v>
      </c>
      <c r="J83" s="421"/>
      <c r="K83" s="42" t="s">
        <v>43</v>
      </c>
      <c r="L83" s="23" t="s">
        <v>38</v>
      </c>
      <c r="M83" s="62">
        <f>1904370.3/N4</f>
        <v>549760.47921478061</v>
      </c>
      <c r="N83" s="99" t="s">
        <v>43</v>
      </c>
      <c r="O83" s="56">
        <v>43132</v>
      </c>
      <c r="P83" s="56">
        <v>43251</v>
      </c>
      <c r="Q83" s="344"/>
      <c r="R83" s="30" t="s">
        <v>56</v>
      </c>
      <c r="S83" s="39" t="s">
        <v>46</v>
      </c>
      <c r="T83" s="40" t="s">
        <v>46</v>
      </c>
      <c r="U83" s="47" t="s">
        <v>342</v>
      </c>
      <c r="V83" s="48" t="s">
        <v>339</v>
      </c>
      <c r="W83" s="49"/>
      <c r="X83" s="50"/>
    </row>
    <row r="84" spans="2:24" s="35" customFormat="1" ht="85" x14ac:dyDescent="0.15">
      <c r="B84" s="364">
        <v>43</v>
      </c>
      <c r="C84" s="362"/>
      <c r="D84" s="353" t="s">
        <v>46</v>
      </c>
      <c r="E84" s="355" t="s">
        <v>343</v>
      </c>
      <c r="F84" s="366" t="s">
        <v>70</v>
      </c>
      <c r="G84" s="39" t="s">
        <v>344</v>
      </c>
      <c r="H84" s="357" t="s">
        <v>345</v>
      </c>
      <c r="I84" s="41" t="s">
        <v>107</v>
      </c>
      <c r="J84" s="357" t="s">
        <v>346</v>
      </c>
      <c r="K84" s="42" t="s">
        <v>43</v>
      </c>
      <c r="L84" s="23" t="s">
        <v>38</v>
      </c>
      <c r="M84" s="87">
        <f>9016409/N4</f>
        <v>2602889.4341801386</v>
      </c>
      <c r="N84" s="359">
        <f>M84+M85</f>
        <v>3326256.2038106238</v>
      </c>
      <c r="O84" s="56">
        <v>42296</v>
      </c>
      <c r="P84" s="56">
        <v>42735</v>
      </c>
      <c r="Q84" s="343">
        <f>P85-O84+1</f>
        <v>530</v>
      </c>
      <c r="R84" s="30" t="s">
        <v>56</v>
      </c>
      <c r="S84" s="39" t="s">
        <v>46</v>
      </c>
      <c r="T84" s="40" t="s">
        <v>46</v>
      </c>
      <c r="U84" s="47" t="s">
        <v>347</v>
      </c>
      <c r="V84" s="48" t="s">
        <v>333</v>
      </c>
      <c r="W84" s="81" t="s">
        <v>348</v>
      </c>
      <c r="X84" s="82" t="s">
        <v>349</v>
      </c>
    </row>
    <row r="85" spans="2:24" s="35" customFormat="1" ht="34" x14ac:dyDescent="0.15">
      <c r="B85" s="365"/>
      <c r="C85" s="362"/>
      <c r="D85" s="354"/>
      <c r="E85" s="356"/>
      <c r="F85" s="367"/>
      <c r="G85" s="39" t="s">
        <v>350</v>
      </c>
      <c r="H85" s="358"/>
      <c r="I85" s="41" t="s">
        <v>351</v>
      </c>
      <c r="J85" s="358"/>
      <c r="K85" s="42" t="s">
        <v>43</v>
      </c>
      <c r="L85" s="23" t="s">
        <v>38</v>
      </c>
      <c r="M85" s="87">
        <f>2505742.49/N4</f>
        <v>723366.7696304851</v>
      </c>
      <c r="N85" s="360"/>
      <c r="O85" s="56">
        <v>42736</v>
      </c>
      <c r="P85" s="56">
        <v>42825</v>
      </c>
      <c r="Q85" s="344"/>
      <c r="R85" s="30" t="s">
        <v>56</v>
      </c>
      <c r="S85" s="39" t="s">
        <v>46</v>
      </c>
      <c r="T85" s="40" t="s">
        <v>46</v>
      </c>
      <c r="U85" s="47" t="s">
        <v>338</v>
      </c>
      <c r="V85" s="48" t="s">
        <v>339</v>
      </c>
      <c r="W85" s="49"/>
      <c r="X85" s="50"/>
    </row>
    <row r="86" spans="2:24" s="35" customFormat="1" ht="102" x14ac:dyDescent="0.15">
      <c r="B86" s="364">
        <v>17</v>
      </c>
      <c r="C86" s="362"/>
      <c r="D86" s="353" t="s">
        <v>46</v>
      </c>
      <c r="E86" s="355" t="s">
        <v>352</v>
      </c>
      <c r="F86" s="366" t="s">
        <v>70</v>
      </c>
      <c r="G86" s="39" t="s">
        <v>353</v>
      </c>
      <c r="H86" s="357" t="s">
        <v>231</v>
      </c>
      <c r="I86" s="42" t="s">
        <v>354</v>
      </c>
      <c r="J86" s="357" t="s">
        <v>355</v>
      </c>
      <c r="K86" s="42" t="s">
        <v>74</v>
      </c>
      <c r="L86" s="43" t="s">
        <v>38</v>
      </c>
      <c r="M86" s="62">
        <f>31500000/N4</f>
        <v>9093533.4872979224</v>
      </c>
      <c r="N86" s="359">
        <f>M86+M87+M88+M89+M90+M91+M92</f>
        <v>13507750.433025407</v>
      </c>
      <c r="O86" s="56">
        <v>42075</v>
      </c>
      <c r="P86" s="56">
        <v>42369</v>
      </c>
      <c r="Q86" s="343">
        <f>P92-O86+1</f>
        <v>501</v>
      </c>
      <c r="R86" s="30" t="s">
        <v>56</v>
      </c>
      <c r="S86" s="39" t="s">
        <v>46</v>
      </c>
      <c r="T86" s="40" t="s">
        <v>46</v>
      </c>
      <c r="U86" s="47" t="s">
        <v>332</v>
      </c>
      <c r="V86" s="48" t="s">
        <v>333</v>
      </c>
      <c r="W86" s="81" t="s">
        <v>334</v>
      </c>
      <c r="X86" s="82" t="s">
        <v>356</v>
      </c>
    </row>
    <row r="87" spans="2:24" s="35" customFormat="1" ht="57" customHeight="1" x14ac:dyDescent="0.15">
      <c r="B87" s="408"/>
      <c r="C87" s="362"/>
      <c r="D87" s="369"/>
      <c r="E87" s="370"/>
      <c r="F87" s="409"/>
      <c r="G87" s="39" t="s">
        <v>357</v>
      </c>
      <c r="H87" s="389"/>
      <c r="I87" s="42" t="s">
        <v>358</v>
      </c>
      <c r="J87" s="389"/>
      <c r="K87" s="42" t="s">
        <v>74</v>
      </c>
      <c r="L87" s="43" t="s">
        <v>38</v>
      </c>
      <c r="M87" s="62">
        <f>-2012183/N4</f>
        <v>-580884.2378752887</v>
      </c>
      <c r="N87" s="384"/>
      <c r="O87" s="56">
        <v>42217</v>
      </c>
      <c r="P87" s="56">
        <v>42369</v>
      </c>
      <c r="Q87" s="418"/>
      <c r="R87" s="30" t="s">
        <v>56</v>
      </c>
      <c r="S87" s="39" t="s">
        <v>46</v>
      </c>
      <c r="T87" s="40" t="s">
        <v>46</v>
      </c>
      <c r="U87" s="47" t="s">
        <v>226</v>
      </c>
      <c r="V87" s="48" t="s">
        <v>116</v>
      </c>
      <c r="W87" s="49"/>
      <c r="X87" s="50"/>
    </row>
    <row r="88" spans="2:24" s="35" customFormat="1" ht="34" x14ac:dyDescent="0.15">
      <c r="B88" s="408"/>
      <c r="C88" s="362"/>
      <c r="D88" s="369"/>
      <c r="E88" s="370"/>
      <c r="F88" s="409"/>
      <c r="G88" s="39" t="s">
        <v>359</v>
      </c>
      <c r="H88" s="389"/>
      <c r="I88" s="41" t="s">
        <v>244</v>
      </c>
      <c r="J88" s="389"/>
      <c r="K88" s="42" t="s">
        <v>74</v>
      </c>
      <c r="L88" s="43" t="s">
        <v>38</v>
      </c>
      <c r="M88" s="62">
        <f>5085394/N4</f>
        <v>1468069.8614318706</v>
      </c>
      <c r="N88" s="384"/>
      <c r="O88" s="56">
        <v>42370</v>
      </c>
      <c r="P88" s="56">
        <v>42429</v>
      </c>
      <c r="Q88" s="418"/>
      <c r="R88" s="30" t="s">
        <v>56</v>
      </c>
      <c r="S88" s="39" t="s">
        <v>46</v>
      </c>
      <c r="T88" s="40" t="s">
        <v>46</v>
      </c>
      <c r="U88" s="47" t="s">
        <v>226</v>
      </c>
      <c r="V88" s="48" t="s">
        <v>116</v>
      </c>
      <c r="W88" s="49"/>
      <c r="X88" s="50"/>
    </row>
    <row r="89" spans="2:24" s="35" customFormat="1" ht="34" x14ac:dyDescent="0.15">
      <c r="B89" s="408"/>
      <c r="C89" s="362"/>
      <c r="D89" s="369"/>
      <c r="E89" s="370"/>
      <c r="F89" s="409"/>
      <c r="G89" s="39" t="s">
        <v>359</v>
      </c>
      <c r="H89" s="389"/>
      <c r="I89" s="41" t="s">
        <v>102</v>
      </c>
      <c r="J89" s="389"/>
      <c r="K89" s="42" t="s">
        <v>74</v>
      </c>
      <c r="L89" s="43" t="s">
        <v>38</v>
      </c>
      <c r="M89" s="62">
        <f>7628091/N4</f>
        <v>2202104.7921478059</v>
      </c>
      <c r="N89" s="384"/>
      <c r="O89" s="56">
        <v>42430</v>
      </c>
      <c r="P89" s="56" t="s">
        <v>360</v>
      </c>
      <c r="Q89" s="418"/>
      <c r="R89" s="30" t="s">
        <v>56</v>
      </c>
      <c r="S89" s="39" t="s">
        <v>46</v>
      </c>
      <c r="T89" s="40" t="s">
        <v>46</v>
      </c>
      <c r="U89" s="47" t="s">
        <v>226</v>
      </c>
      <c r="V89" s="48" t="s">
        <v>116</v>
      </c>
      <c r="W89" s="49"/>
      <c r="X89" s="50"/>
    </row>
    <row r="90" spans="2:24" s="35" customFormat="1" ht="34" x14ac:dyDescent="0.15">
      <c r="B90" s="408"/>
      <c r="C90" s="362"/>
      <c r="D90" s="369"/>
      <c r="E90" s="370"/>
      <c r="F90" s="409"/>
      <c r="G90" s="39" t="s">
        <v>359</v>
      </c>
      <c r="H90" s="389"/>
      <c r="I90" s="41" t="s">
        <v>361</v>
      </c>
      <c r="J90" s="389"/>
      <c r="K90" s="42" t="s">
        <v>74</v>
      </c>
      <c r="L90" s="43" t="s">
        <v>38</v>
      </c>
      <c r="M90" s="62">
        <f>2542697/N4</f>
        <v>734034.9307159353</v>
      </c>
      <c r="N90" s="384"/>
      <c r="O90" s="56">
        <v>42522</v>
      </c>
      <c r="P90" s="56">
        <v>42551</v>
      </c>
      <c r="Q90" s="418"/>
      <c r="R90" s="30" t="s">
        <v>56</v>
      </c>
      <c r="S90" s="39" t="s">
        <v>46</v>
      </c>
      <c r="T90" s="40" t="s">
        <v>46</v>
      </c>
      <c r="U90" s="47" t="s">
        <v>226</v>
      </c>
      <c r="V90" s="48" t="s">
        <v>116</v>
      </c>
      <c r="W90" s="49"/>
      <c r="X90" s="50"/>
    </row>
    <row r="91" spans="2:24" s="35" customFormat="1" ht="34" x14ac:dyDescent="0.15">
      <c r="B91" s="408"/>
      <c r="C91" s="362"/>
      <c r="D91" s="369"/>
      <c r="E91" s="370"/>
      <c r="F91" s="409"/>
      <c r="G91" s="39" t="s">
        <v>359</v>
      </c>
      <c r="H91" s="389"/>
      <c r="I91" s="41" t="s">
        <v>362</v>
      </c>
      <c r="J91" s="389"/>
      <c r="K91" s="42" t="s">
        <v>74</v>
      </c>
      <c r="L91" s="43" t="s">
        <v>38</v>
      </c>
      <c r="M91" s="62">
        <f>1271348.5/N4</f>
        <v>367017.46535796765</v>
      </c>
      <c r="N91" s="384"/>
      <c r="O91" s="56">
        <v>42552</v>
      </c>
      <c r="P91" s="56">
        <v>42566</v>
      </c>
      <c r="Q91" s="418"/>
      <c r="R91" s="30" t="s">
        <v>56</v>
      </c>
      <c r="S91" s="39" t="s">
        <v>46</v>
      </c>
      <c r="T91" s="40" t="s">
        <v>46</v>
      </c>
      <c r="U91" s="47" t="s">
        <v>226</v>
      </c>
      <c r="V91" s="48" t="s">
        <v>116</v>
      </c>
      <c r="W91" s="49"/>
      <c r="X91" s="50"/>
    </row>
    <row r="92" spans="2:24" s="35" customFormat="1" ht="34" x14ac:dyDescent="0.15">
      <c r="B92" s="365"/>
      <c r="C92" s="362"/>
      <c r="D92" s="354"/>
      <c r="E92" s="356"/>
      <c r="F92" s="367"/>
      <c r="G92" s="39" t="s">
        <v>359</v>
      </c>
      <c r="H92" s="358"/>
      <c r="I92" s="41" t="s">
        <v>363</v>
      </c>
      <c r="J92" s="358"/>
      <c r="K92" s="42" t="s">
        <v>74</v>
      </c>
      <c r="L92" s="43" t="s">
        <v>38</v>
      </c>
      <c r="M92" s="62">
        <f>775500/N4</f>
        <v>223874.13394919169</v>
      </c>
      <c r="N92" s="360"/>
      <c r="O92" s="56">
        <v>42567</v>
      </c>
      <c r="P92" s="56">
        <v>42575</v>
      </c>
      <c r="Q92" s="344"/>
      <c r="R92" s="30" t="s">
        <v>56</v>
      </c>
      <c r="S92" s="39" t="s">
        <v>46</v>
      </c>
      <c r="T92" s="40" t="s">
        <v>46</v>
      </c>
      <c r="U92" s="47" t="s">
        <v>226</v>
      </c>
      <c r="V92" s="48" t="s">
        <v>116</v>
      </c>
      <c r="W92" s="49"/>
      <c r="X92" s="50"/>
    </row>
    <row r="93" spans="2:24" s="35" customFormat="1" ht="65.25" customHeight="1" x14ac:dyDescent="0.15">
      <c r="B93" s="36">
        <v>22</v>
      </c>
      <c r="C93" s="362"/>
      <c r="D93" s="64" t="s">
        <v>46</v>
      </c>
      <c r="E93" s="38" t="s">
        <v>364</v>
      </c>
      <c r="F93" s="39" t="s">
        <v>70</v>
      </c>
      <c r="G93" s="39" t="s">
        <v>365</v>
      </c>
      <c r="H93" s="40" t="s">
        <v>366</v>
      </c>
      <c r="I93" s="41" t="s">
        <v>107</v>
      </c>
      <c r="J93" s="40" t="s">
        <v>367</v>
      </c>
      <c r="K93" s="42" t="s">
        <v>43</v>
      </c>
      <c r="L93" s="43" t="s">
        <v>38</v>
      </c>
      <c r="M93" s="62">
        <f>1728111/N4</f>
        <v>498877.3094688222</v>
      </c>
      <c r="N93" s="99" t="s">
        <v>43</v>
      </c>
      <c r="O93" s="56">
        <v>42538</v>
      </c>
      <c r="P93" s="56">
        <v>42735</v>
      </c>
      <c r="Q93" s="63">
        <f>P93-O93+1</f>
        <v>198</v>
      </c>
      <c r="R93" s="30" t="s">
        <v>56</v>
      </c>
      <c r="S93" s="39" t="s">
        <v>46</v>
      </c>
      <c r="T93" s="40" t="s">
        <v>46</v>
      </c>
      <c r="U93" s="47" t="s">
        <v>332</v>
      </c>
      <c r="V93" s="48" t="s">
        <v>333</v>
      </c>
      <c r="W93" s="81" t="s">
        <v>334</v>
      </c>
      <c r="X93" s="82" t="s">
        <v>335</v>
      </c>
    </row>
    <row r="94" spans="2:24" s="35" customFormat="1" ht="43.5" customHeight="1" x14ac:dyDescent="0.15">
      <c r="B94" s="364">
        <v>21</v>
      </c>
      <c r="C94" s="362"/>
      <c r="D94" s="353" t="s">
        <v>368</v>
      </c>
      <c r="E94" s="355" t="s">
        <v>369</v>
      </c>
      <c r="F94" s="366" t="s">
        <v>70</v>
      </c>
      <c r="G94" s="366" t="s">
        <v>344</v>
      </c>
      <c r="H94" s="357" t="s">
        <v>231</v>
      </c>
      <c r="I94" s="41" t="s">
        <v>107</v>
      </c>
      <c r="J94" s="357" t="s">
        <v>370</v>
      </c>
      <c r="K94" s="42" t="s">
        <v>43</v>
      </c>
      <c r="L94" s="43" t="s">
        <v>38</v>
      </c>
      <c r="M94" s="62">
        <f>2185166/N4</f>
        <v>630821.59353348729</v>
      </c>
      <c r="N94" s="359">
        <f>M94+M95</f>
        <v>630821.59353348729</v>
      </c>
      <c r="O94" s="56">
        <v>42437</v>
      </c>
      <c r="P94" s="56">
        <v>42497</v>
      </c>
      <c r="Q94" s="422">
        <f>P95-O94+1</f>
        <v>68</v>
      </c>
      <c r="R94" s="30" t="s">
        <v>56</v>
      </c>
      <c r="S94" s="39" t="s">
        <v>46</v>
      </c>
      <c r="T94" s="40" t="s">
        <v>46</v>
      </c>
      <c r="U94" s="47" t="s">
        <v>332</v>
      </c>
      <c r="V94" s="48" t="s">
        <v>333</v>
      </c>
      <c r="W94" s="81" t="s">
        <v>334</v>
      </c>
      <c r="X94" s="82" t="s">
        <v>335</v>
      </c>
    </row>
    <row r="95" spans="2:24" s="35" customFormat="1" ht="75" customHeight="1" x14ac:dyDescent="0.15">
      <c r="B95" s="365"/>
      <c r="C95" s="362"/>
      <c r="D95" s="354"/>
      <c r="E95" s="356"/>
      <c r="F95" s="367"/>
      <c r="G95" s="367"/>
      <c r="H95" s="358"/>
      <c r="I95" s="42" t="s">
        <v>371</v>
      </c>
      <c r="J95" s="358"/>
      <c r="K95" s="42" t="s">
        <v>43</v>
      </c>
      <c r="L95" s="43" t="s">
        <v>38</v>
      </c>
      <c r="M95" s="62">
        <v>0</v>
      </c>
      <c r="N95" s="360"/>
      <c r="O95" s="56">
        <v>42498</v>
      </c>
      <c r="P95" s="56" t="s">
        <v>372</v>
      </c>
      <c r="Q95" s="423"/>
      <c r="R95" s="30" t="s">
        <v>56</v>
      </c>
      <c r="S95" s="39" t="s">
        <v>46</v>
      </c>
      <c r="T95" s="40" t="s">
        <v>46</v>
      </c>
      <c r="U95" s="47" t="s">
        <v>226</v>
      </c>
      <c r="V95" s="48" t="s">
        <v>116</v>
      </c>
      <c r="W95" s="49"/>
      <c r="X95" s="50"/>
    </row>
    <row r="96" spans="2:24" s="35" customFormat="1" ht="15" customHeight="1" x14ac:dyDescent="0.15">
      <c r="B96" s="364">
        <v>60</v>
      </c>
      <c r="C96" s="362"/>
      <c r="D96" s="353" t="s">
        <v>46</v>
      </c>
      <c r="E96" s="355" t="s">
        <v>373</v>
      </c>
      <c r="F96" s="366" t="s">
        <v>374</v>
      </c>
      <c r="G96" s="366" t="s">
        <v>375</v>
      </c>
      <c r="H96" s="357" t="s">
        <v>231</v>
      </c>
      <c r="I96" s="41" t="s">
        <v>257</v>
      </c>
      <c r="J96" s="93">
        <v>4400052046</v>
      </c>
      <c r="K96" s="42" t="s">
        <v>43</v>
      </c>
      <c r="L96" s="23" t="s">
        <v>38</v>
      </c>
      <c r="M96" s="87">
        <f>319150.03/N4</f>
        <v>92133.380484988462</v>
      </c>
      <c r="N96" s="87">
        <f>319150.03/N4</f>
        <v>92133.380484988462</v>
      </c>
      <c r="O96" s="88">
        <v>42271</v>
      </c>
      <c r="P96" s="88">
        <v>42301</v>
      </c>
      <c r="Q96" s="89">
        <f t="shared" ref="Q96:Q112" si="2">P96-O96+1</f>
        <v>31</v>
      </c>
      <c r="R96" s="30" t="s">
        <v>56</v>
      </c>
      <c r="S96" s="39" t="s">
        <v>46</v>
      </c>
      <c r="T96" s="40" t="s">
        <v>46</v>
      </c>
      <c r="U96" s="47" t="s">
        <v>376</v>
      </c>
      <c r="V96" s="49"/>
      <c r="W96" s="81" t="s">
        <v>377</v>
      </c>
      <c r="X96" s="102" t="s">
        <v>378</v>
      </c>
    </row>
    <row r="97" spans="2:24" s="35" customFormat="1" ht="15" customHeight="1" x14ac:dyDescent="0.15">
      <c r="B97" s="408"/>
      <c r="C97" s="362"/>
      <c r="D97" s="369"/>
      <c r="E97" s="370"/>
      <c r="F97" s="409"/>
      <c r="G97" s="409"/>
      <c r="H97" s="389"/>
      <c r="I97" s="41" t="s">
        <v>257</v>
      </c>
      <c r="J97" s="93">
        <v>4400061268</v>
      </c>
      <c r="K97" s="42" t="s">
        <v>43</v>
      </c>
      <c r="L97" s="23" t="s">
        <v>38</v>
      </c>
      <c r="M97" s="87">
        <f>319150.03/N4</f>
        <v>92133.380484988462</v>
      </c>
      <c r="N97" s="87">
        <f>319150.03/N4</f>
        <v>92133.380484988462</v>
      </c>
      <c r="O97" s="88">
        <v>42326</v>
      </c>
      <c r="P97" s="88">
        <v>42354</v>
      </c>
      <c r="Q97" s="103">
        <f t="shared" si="2"/>
        <v>29</v>
      </c>
      <c r="R97" s="30" t="s">
        <v>56</v>
      </c>
      <c r="S97" s="39" t="s">
        <v>46</v>
      </c>
      <c r="T97" s="40" t="s">
        <v>46</v>
      </c>
      <c r="U97" s="47" t="s">
        <v>379</v>
      </c>
      <c r="V97" s="49"/>
      <c r="W97" s="81" t="s">
        <v>380</v>
      </c>
      <c r="X97" s="102" t="s">
        <v>381</v>
      </c>
    </row>
    <row r="98" spans="2:24" s="35" customFormat="1" ht="15" customHeight="1" x14ac:dyDescent="0.15">
      <c r="B98" s="408"/>
      <c r="C98" s="362"/>
      <c r="D98" s="369"/>
      <c r="E98" s="370"/>
      <c r="F98" s="409"/>
      <c r="G98" s="409"/>
      <c r="H98" s="389"/>
      <c r="I98" s="41" t="s">
        <v>257</v>
      </c>
      <c r="J98" s="93">
        <v>4400066682</v>
      </c>
      <c r="K98" s="42" t="s">
        <v>43</v>
      </c>
      <c r="L98" s="23" t="s">
        <v>38</v>
      </c>
      <c r="M98" s="87">
        <f>319150.03/N4</f>
        <v>92133.380484988462</v>
      </c>
      <c r="N98" s="87">
        <f>319150.03/N4</f>
        <v>92133.380484988462</v>
      </c>
      <c r="O98" s="88">
        <v>42354</v>
      </c>
      <c r="P98" s="88">
        <v>42369</v>
      </c>
      <c r="Q98" s="89">
        <f t="shared" si="2"/>
        <v>16</v>
      </c>
      <c r="R98" s="30" t="s">
        <v>56</v>
      </c>
      <c r="S98" s="39" t="s">
        <v>46</v>
      </c>
      <c r="T98" s="40" t="s">
        <v>46</v>
      </c>
      <c r="U98" s="47" t="s">
        <v>379</v>
      </c>
      <c r="V98" s="49"/>
      <c r="W98" s="81" t="s">
        <v>380</v>
      </c>
      <c r="X98" s="102" t="s">
        <v>381</v>
      </c>
    </row>
    <row r="99" spans="2:24" s="35" customFormat="1" ht="15" customHeight="1" x14ac:dyDescent="0.15">
      <c r="B99" s="408"/>
      <c r="C99" s="362"/>
      <c r="D99" s="369"/>
      <c r="E99" s="370"/>
      <c r="F99" s="409"/>
      <c r="G99" s="409"/>
      <c r="H99" s="389"/>
      <c r="I99" s="41" t="s">
        <v>257</v>
      </c>
      <c r="J99" s="93">
        <v>4400075434</v>
      </c>
      <c r="K99" s="42" t="s">
        <v>43</v>
      </c>
      <c r="L99" s="23" t="s">
        <v>38</v>
      </c>
      <c r="M99" s="87">
        <f>319150.03/N4</f>
        <v>92133.380484988462</v>
      </c>
      <c r="N99" s="87">
        <f>319150.03/N4</f>
        <v>92133.380484988462</v>
      </c>
      <c r="O99" s="88">
        <v>42405</v>
      </c>
      <c r="P99" s="88">
        <v>42416</v>
      </c>
      <c r="Q99" s="103">
        <f t="shared" si="2"/>
        <v>12</v>
      </c>
      <c r="R99" s="30" t="s">
        <v>56</v>
      </c>
      <c r="S99" s="39" t="s">
        <v>46</v>
      </c>
      <c r="T99" s="40" t="s">
        <v>46</v>
      </c>
      <c r="U99" s="47" t="s">
        <v>382</v>
      </c>
      <c r="V99" s="49"/>
      <c r="W99" s="81" t="s">
        <v>383</v>
      </c>
      <c r="X99" s="82" t="s">
        <v>384</v>
      </c>
    </row>
    <row r="100" spans="2:24" s="35" customFormat="1" ht="15" customHeight="1" x14ac:dyDescent="0.15">
      <c r="B100" s="408"/>
      <c r="C100" s="362"/>
      <c r="D100" s="369"/>
      <c r="E100" s="370"/>
      <c r="F100" s="409"/>
      <c r="G100" s="367"/>
      <c r="H100" s="389"/>
      <c r="I100" s="41" t="s">
        <v>257</v>
      </c>
      <c r="J100" s="93">
        <v>4400085516</v>
      </c>
      <c r="K100" s="42" t="s">
        <v>43</v>
      </c>
      <c r="L100" s="23" t="s">
        <v>38</v>
      </c>
      <c r="M100" s="87">
        <f>264990.92/N4</f>
        <v>76498.533487297915</v>
      </c>
      <c r="N100" s="87">
        <f>264990.92/N4</f>
        <v>76498.533487297915</v>
      </c>
      <c r="O100" s="88">
        <v>42464</v>
      </c>
      <c r="P100" s="88">
        <v>42477</v>
      </c>
      <c r="Q100" s="103">
        <f t="shared" si="2"/>
        <v>14</v>
      </c>
      <c r="R100" s="30" t="s">
        <v>56</v>
      </c>
      <c r="S100" s="39" t="s">
        <v>46</v>
      </c>
      <c r="T100" s="40" t="s">
        <v>46</v>
      </c>
      <c r="U100" s="47" t="s">
        <v>385</v>
      </c>
      <c r="V100" s="49"/>
      <c r="W100" s="81" t="s">
        <v>260</v>
      </c>
      <c r="X100" s="82" t="s">
        <v>261</v>
      </c>
    </row>
    <row r="101" spans="2:24" s="35" customFormat="1" ht="51" x14ac:dyDescent="0.15">
      <c r="B101" s="364">
        <v>61</v>
      </c>
      <c r="C101" s="362"/>
      <c r="D101" s="353" t="s">
        <v>386</v>
      </c>
      <c r="E101" s="355" t="s">
        <v>387</v>
      </c>
      <c r="F101" s="366" t="s">
        <v>70</v>
      </c>
      <c r="G101" s="31" t="s">
        <v>388</v>
      </c>
      <c r="H101" s="357" t="s">
        <v>231</v>
      </c>
      <c r="I101" s="41" t="s">
        <v>389</v>
      </c>
      <c r="J101" s="419" t="s">
        <v>390</v>
      </c>
      <c r="K101" s="23" t="s">
        <v>74</v>
      </c>
      <c r="L101" s="23" t="s">
        <v>38</v>
      </c>
      <c r="M101" s="87">
        <f>2038513.29/N4</f>
        <v>588485.36085450347</v>
      </c>
      <c r="N101" s="339">
        <f>M101+M102+M103+M104</f>
        <v>2060066.4809468822</v>
      </c>
      <c r="O101" s="56">
        <v>41960</v>
      </c>
      <c r="P101" s="56" t="s">
        <v>43</v>
      </c>
      <c r="Q101" s="343">
        <f>P104-O101+1</f>
        <v>336</v>
      </c>
      <c r="R101" s="30" t="s">
        <v>56</v>
      </c>
      <c r="S101" s="39" t="s">
        <v>46</v>
      </c>
      <c r="T101" s="40" t="s">
        <v>46</v>
      </c>
      <c r="U101" s="47" t="s">
        <v>391</v>
      </c>
      <c r="V101" s="48" t="s">
        <v>392</v>
      </c>
      <c r="W101" s="49"/>
      <c r="X101" s="50"/>
    </row>
    <row r="102" spans="2:24" s="35" customFormat="1" ht="51" x14ac:dyDescent="0.15">
      <c r="B102" s="408"/>
      <c r="C102" s="362"/>
      <c r="D102" s="369"/>
      <c r="E102" s="370"/>
      <c r="F102" s="409"/>
      <c r="G102" s="39" t="s">
        <v>393</v>
      </c>
      <c r="H102" s="389"/>
      <c r="I102" s="41" t="s">
        <v>98</v>
      </c>
      <c r="J102" s="420"/>
      <c r="K102" s="23" t="s">
        <v>74</v>
      </c>
      <c r="L102" s="23" t="s">
        <v>38</v>
      </c>
      <c r="M102" s="87">
        <f>1730131/N4</f>
        <v>499460.45034642034</v>
      </c>
      <c r="N102" s="417"/>
      <c r="O102" s="56" t="s">
        <v>43</v>
      </c>
      <c r="P102" s="56">
        <v>42142</v>
      </c>
      <c r="Q102" s="418"/>
      <c r="R102" s="30" t="s">
        <v>56</v>
      </c>
      <c r="S102" s="39" t="s">
        <v>46</v>
      </c>
      <c r="T102" s="40" t="s">
        <v>46</v>
      </c>
      <c r="U102" s="47" t="s">
        <v>226</v>
      </c>
      <c r="V102" s="48" t="s">
        <v>116</v>
      </c>
      <c r="W102" s="49"/>
      <c r="X102" s="50"/>
    </row>
    <row r="103" spans="2:24" s="35" customFormat="1" ht="51" x14ac:dyDescent="0.15">
      <c r="B103" s="408"/>
      <c r="C103" s="362"/>
      <c r="D103" s="369"/>
      <c r="E103" s="370"/>
      <c r="F103" s="409"/>
      <c r="G103" s="39" t="s">
        <v>394</v>
      </c>
      <c r="H103" s="389"/>
      <c r="I103" s="41" t="s">
        <v>244</v>
      </c>
      <c r="J103" s="420"/>
      <c r="K103" s="23" t="s">
        <v>74</v>
      </c>
      <c r="L103" s="23" t="s">
        <v>38</v>
      </c>
      <c r="M103" s="87">
        <f>2020456/N4</f>
        <v>583272.51732101617</v>
      </c>
      <c r="N103" s="417"/>
      <c r="O103" s="56">
        <v>42143</v>
      </c>
      <c r="P103" s="56">
        <v>42234</v>
      </c>
      <c r="Q103" s="418"/>
      <c r="R103" s="30" t="s">
        <v>56</v>
      </c>
      <c r="S103" s="39" t="s">
        <v>46</v>
      </c>
      <c r="T103" s="40" t="s">
        <v>46</v>
      </c>
      <c r="U103" s="47" t="s">
        <v>226</v>
      </c>
      <c r="V103" s="48" t="s">
        <v>116</v>
      </c>
      <c r="W103" s="49"/>
      <c r="X103" s="50"/>
    </row>
    <row r="104" spans="2:24" s="35" customFormat="1" ht="51" x14ac:dyDescent="0.15">
      <c r="B104" s="408"/>
      <c r="C104" s="362"/>
      <c r="D104" s="369"/>
      <c r="E104" s="370"/>
      <c r="F104" s="409"/>
      <c r="G104" s="39" t="s">
        <v>394</v>
      </c>
      <c r="H104" s="389"/>
      <c r="I104" s="41" t="s">
        <v>102</v>
      </c>
      <c r="J104" s="421"/>
      <c r="K104" s="23" t="s">
        <v>74</v>
      </c>
      <c r="L104" s="23" t="s">
        <v>38</v>
      </c>
      <c r="M104" s="87">
        <f>1346970/N4</f>
        <v>388848.15242494229</v>
      </c>
      <c r="N104" s="340"/>
      <c r="O104" s="56">
        <v>42235</v>
      </c>
      <c r="P104" s="56">
        <v>42295</v>
      </c>
      <c r="Q104" s="344"/>
      <c r="R104" s="30" t="s">
        <v>56</v>
      </c>
      <c r="S104" s="39" t="s">
        <v>46</v>
      </c>
      <c r="T104" s="40" t="s">
        <v>46</v>
      </c>
      <c r="U104" s="47" t="s">
        <v>226</v>
      </c>
      <c r="V104" s="48" t="s">
        <v>116</v>
      </c>
      <c r="W104" s="49"/>
      <c r="X104" s="50"/>
    </row>
    <row r="105" spans="2:24" s="35" customFormat="1" ht="34" x14ac:dyDescent="0.15">
      <c r="B105" s="51">
        <v>62</v>
      </c>
      <c r="C105" s="362"/>
      <c r="D105" s="68" t="s">
        <v>46</v>
      </c>
      <c r="E105" s="52" t="s">
        <v>395</v>
      </c>
      <c r="F105" s="31" t="s">
        <v>70</v>
      </c>
      <c r="G105" s="31" t="s">
        <v>396</v>
      </c>
      <c r="H105" s="40" t="s">
        <v>231</v>
      </c>
      <c r="I105" s="41" t="s">
        <v>107</v>
      </c>
      <c r="J105" s="104" t="s">
        <v>397</v>
      </c>
      <c r="K105" s="42" t="s">
        <v>53</v>
      </c>
      <c r="L105" s="43" t="s">
        <v>38</v>
      </c>
      <c r="M105" s="87">
        <f>3070005.06/N4</f>
        <v>886260.12124711322</v>
      </c>
      <c r="N105" s="77" t="s">
        <v>43</v>
      </c>
      <c r="O105" s="45">
        <v>42745</v>
      </c>
      <c r="P105" s="45">
        <v>42819</v>
      </c>
      <c r="Q105" s="95">
        <f t="shared" si="2"/>
        <v>75</v>
      </c>
      <c r="R105" s="30" t="s">
        <v>56</v>
      </c>
      <c r="S105" s="39" t="s">
        <v>46</v>
      </c>
      <c r="T105" s="40" t="s">
        <v>46</v>
      </c>
      <c r="U105" s="47" t="s">
        <v>398</v>
      </c>
      <c r="V105" s="48" t="s">
        <v>399</v>
      </c>
      <c r="W105" s="81" t="s">
        <v>400</v>
      </c>
      <c r="X105" s="105" t="s">
        <v>401</v>
      </c>
    </row>
    <row r="106" spans="2:24" s="35" customFormat="1" ht="34" x14ac:dyDescent="0.15">
      <c r="B106" s="106">
        <v>63</v>
      </c>
      <c r="C106" s="362"/>
      <c r="D106" s="84" t="s">
        <v>46</v>
      </c>
      <c r="E106" s="107" t="s">
        <v>402</v>
      </c>
      <c r="F106" s="108" t="s">
        <v>105</v>
      </c>
      <c r="G106" s="39" t="s">
        <v>403</v>
      </c>
      <c r="H106" s="40" t="s">
        <v>106</v>
      </c>
      <c r="I106" s="41" t="s">
        <v>404</v>
      </c>
      <c r="J106" s="104" t="s">
        <v>46</v>
      </c>
      <c r="K106" s="42" t="s">
        <v>43</v>
      </c>
      <c r="L106" s="43" t="s">
        <v>38</v>
      </c>
      <c r="M106" s="109">
        <f>225611.66/N4</f>
        <v>65130.386836027712</v>
      </c>
      <c r="N106" s="77">
        <f>2952296.64/N4</f>
        <v>852279.63048498845</v>
      </c>
      <c r="O106" s="45">
        <v>43101</v>
      </c>
      <c r="P106" s="45">
        <v>43146</v>
      </c>
      <c r="Q106" s="95">
        <f t="shared" si="2"/>
        <v>46</v>
      </c>
      <c r="R106" s="30" t="s">
        <v>56</v>
      </c>
      <c r="S106" s="39" t="s">
        <v>46</v>
      </c>
      <c r="T106" s="40" t="s">
        <v>46</v>
      </c>
      <c r="U106" s="47" t="s">
        <v>405</v>
      </c>
      <c r="V106" s="48" t="s">
        <v>406</v>
      </c>
      <c r="W106" s="110"/>
      <c r="X106" s="83"/>
    </row>
    <row r="107" spans="2:24" s="35" customFormat="1" ht="136" x14ac:dyDescent="0.15">
      <c r="B107" s="51">
        <v>64</v>
      </c>
      <c r="C107" s="362"/>
      <c r="D107" s="68" t="s">
        <v>46</v>
      </c>
      <c r="E107" s="52" t="s">
        <v>407</v>
      </c>
      <c r="F107" s="31" t="s">
        <v>32</v>
      </c>
      <c r="G107" s="31" t="s">
        <v>408</v>
      </c>
      <c r="H107" s="40" t="s">
        <v>158</v>
      </c>
      <c r="I107" s="41" t="s">
        <v>409</v>
      </c>
      <c r="J107" s="111" t="s">
        <v>410</v>
      </c>
      <c r="K107" s="42" t="s">
        <v>170</v>
      </c>
      <c r="L107" s="43" t="s">
        <v>38</v>
      </c>
      <c r="M107" s="109">
        <f>3825278/N4</f>
        <v>1104295.0346420323</v>
      </c>
      <c r="N107" s="77" t="s">
        <v>43</v>
      </c>
      <c r="O107" s="45">
        <v>42064</v>
      </c>
      <c r="P107" s="45">
        <v>42277</v>
      </c>
      <c r="Q107" s="95">
        <f t="shared" si="2"/>
        <v>214</v>
      </c>
      <c r="R107" s="30" t="s">
        <v>56</v>
      </c>
      <c r="S107" s="39" t="s">
        <v>46</v>
      </c>
      <c r="T107" s="40" t="s">
        <v>46</v>
      </c>
      <c r="U107" s="47" t="s">
        <v>217</v>
      </c>
      <c r="V107" s="48" t="s">
        <v>218</v>
      </c>
      <c r="W107" s="81" t="s">
        <v>411</v>
      </c>
      <c r="X107" s="91" t="s">
        <v>220</v>
      </c>
    </row>
    <row r="108" spans="2:24" s="35" customFormat="1" ht="102" x14ac:dyDescent="0.15">
      <c r="B108" s="36">
        <v>66</v>
      </c>
      <c r="C108" s="362"/>
      <c r="D108" s="68" t="s">
        <v>46</v>
      </c>
      <c r="E108" s="38" t="s">
        <v>412</v>
      </c>
      <c r="F108" s="39" t="s">
        <v>48</v>
      </c>
      <c r="G108" s="39" t="s">
        <v>413</v>
      </c>
      <c r="H108" s="40" t="s">
        <v>158</v>
      </c>
      <c r="I108" s="42" t="s">
        <v>414</v>
      </c>
      <c r="J108" s="111" t="s">
        <v>415</v>
      </c>
      <c r="K108" s="42" t="s">
        <v>74</v>
      </c>
      <c r="L108" s="43" t="s">
        <v>38</v>
      </c>
      <c r="M108" s="87">
        <f>6124411.42/N4</f>
        <v>1768017.1535796768</v>
      </c>
      <c r="N108" s="87">
        <f>5534745.04/N4</f>
        <v>1597790.1385681294</v>
      </c>
      <c r="O108" s="45">
        <v>42217</v>
      </c>
      <c r="P108" s="45">
        <v>42327</v>
      </c>
      <c r="Q108" s="95">
        <f t="shared" si="2"/>
        <v>111</v>
      </c>
      <c r="R108" s="30" t="s">
        <v>56</v>
      </c>
      <c r="S108" s="39" t="s">
        <v>46</v>
      </c>
      <c r="T108" s="40" t="s">
        <v>46</v>
      </c>
      <c r="U108" s="47" t="s">
        <v>217</v>
      </c>
      <c r="V108" s="48" t="s">
        <v>218</v>
      </c>
      <c r="W108" s="81" t="s">
        <v>411</v>
      </c>
      <c r="X108" s="91" t="s">
        <v>220</v>
      </c>
    </row>
    <row r="109" spans="2:24" s="35" customFormat="1" ht="34" x14ac:dyDescent="0.15">
      <c r="B109" s="364">
        <v>67</v>
      </c>
      <c r="C109" s="362"/>
      <c r="D109" s="353" t="s">
        <v>46</v>
      </c>
      <c r="E109" s="355" t="s">
        <v>416</v>
      </c>
      <c r="F109" s="366" t="s">
        <v>32</v>
      </c>
      <c r="G109" s="366" t="s">
        <v>417</v>
      </c>
      <c r="H109" s="357" t="s">
        <v>158</v>
      </c>
      <c r="I109" s="42" t="s">
        <v>418</v>
      </c>
      <c r="J109" s="413" t="s">
        <v>419</v>
      </c>
      <c r="K109" s="394" t="s">
        <v>43</v>
      </c>
      <c r="L109" s="43" t="s">
        <v>38</v>
      </c>
      <c r="M109" s="87">
        <f>943046.45/N4</f>
        <v>272242.04676674365</v>
      </c>
      <c r="N109" s="339">
        <f>M109+M110+M111</f>
        <v>491031.52713625861</v>
      </c>
      <c r="O109" s="94" t="s">
        <v>43</v>
      </c>
      <c r="P109" s="94" t="s">
        <v>43</v>
      </c>
      <c r="Q109" s="89" t="s">
        <v>43</v>
      </c>
      <c r="R109" s="30" t="s">
        <v>56</v>
      </c>
      <c r="S109" s="39" t="s">
        <v>46</v>
      </c>
      <c r="T109" s="40" t="s">
        <v>46</v>
      </c>
      <c r="U109" s="375" t="s">
        <v>420</v>
      </c>
      <c r="V109" s="377" t="s">
        <v>421</v>
      </c>
      <c r="W109" s="404"/>
      <c r="X109" s="390"/>
    </row>
    <row r="110" spans="2:24" s="35" customFormat="1" ht="15.75" customHeight="1" x14ac:dyDescent="0.15">
      <c r="B110" s="408"/>
      <c r="C110" s="362"/>
      <c r="D110" s="369"/>
      <c r="E110" s="370"/>
      <c r="F110" s="409"/>
      <c r="G110" s="409"/>
      <c r="H110" s="389"/>
      <c r="I110" s="42" t="s">
        <v>422</v>
      </c>
      <c r="J110" s="414"/>
      <c r="K110" s="416"/>
      <c r="L110" s="43" t="s">
        <v>38</v>
      </c>
      <c r="M110" s="87">
        <f>829057.36/N4</f>
        <v>239335.26558891454</v>
      </c>
      <c r="N110" s="417"/>
      <c r="O110" s="94" t="s">
        <v>43</v>
      </c>
      <c r="P110" s="94" t="s">
        <v>43</v>
      </c>
      <c r="Q110" s="89" t="s">
        <v>43</v>
      </c>
      <c r="R110" s="30" t="s">
        <v>56</v>
      </c>
      <c r="S110" s="39" t="s">
        <v>46</v>
      </c>
      <c r="T110" s="40" t="s">
        <v>46</v>
      </c>
      <c r="U110" s="402"/>
      <c r="V110" s="403"/>
      <c r="W110" s="405"/>
      <c r="X110" s="407"/>
    </row>
    <row r="111" spans="2:24" s="35" customFormat="1" ht="15.75" customHeight="1" x14ac:dyDescent="0.15">
      <c r="B111" s="365"/>
      <c r="C111" s="362"/>
      <c r="D111" s="354"/>
      <c r="E111" s="356"/>
      <c r="F111" s="367"/>
      <c r="G111" s="367"/>
      <c r="H111" s="358"/>
      <c r="I111" s="42" t="s">
        <v>423</v>
      </c>
      <c r="J111" s="415"/>
      <c r="K111" s="395"/>
      <c r="L111" s="43" t="s">
        <v>38</v>
      </c>
      <c r="M111" s="62">
        <f>-71170.6/N4</f>
        <v>-20545.785219399539</v>
      </c>
      <c r="N111" s="340"/>
      <c r="O111" s="94" t="s">
        <v>43</v>
      </c>
      <c r="P111" s="94" t="s">
        <v>43</v>
      </c>
      <c r="Q111" s="89" t="s">
        <v>43</v>
      </c>
      <c r="R111" s="30" t="s">
        <v>56</v>
      </c>
      <c r="S111" s="39" t="s">
        <v>46</v>
      </c>
      <c r="T111" s="40" t="s">
        <v>46</v>
      </c>
      <c r="U111" s="376"/>
      <c r="V111" s="378"/>
      <c r="W111" s="406"/>
      <c r="X111" s="391"/>
    </row>
    <row r="112" spans="2:24" s="35" customFormat="1" ht="119" x14ac:dyDescent="0.15">
      <c r="B112" s="106">
        <v>70</v>
      </c>
      <c r="C112" s="362"/>
      <c r="D112" s="84" t="s">
        <v>46</v>
      </c>
      <c r="E112" s="107" t="s">
        <v>424</v>
      </c>
      <c r="F112" s="108" t="s">
        <v>48</v>
      </c>
      <c r="G112" s="112" t="s">
        <v>425</v>
      </c>
      <c r="H112" s="40" t="s">
        <v>158</v>
      </c>
      <c r="I112" s="42" t="s">
        <v>107</v>
      </c>
      <c r="J112" s="113" t="s">
        <v>426</v>
      </c>
      <c r="K112" s="114" t="s">
        <v>74</v>
      </c>
      <c r="L112" s="43" t="s">
        <v>38</v>
      </c>
      <c r="M112" s="62">
        <f>1447958.78/N4</f>
        <v>418001.95727482683</v>
      </c>
      <c r="N112" s="115" t="s">
        <v>43</v>
      </c>
      <c r="O112" s="45">
        <v>41892</v>
      </c>
      <c r="P112" s="45">
        <v>41937</v>
      </c>
      <c r="Q112" s="95">
        <f t="shared" si="2"/>
        <v>46</v>
      </c>
      <c r="R112" s="46" t="s">
        <v>56</v>
      </c>
      <c r="S112" s="39" t="s">
        <v>46</v>
      </c>
      <c r="T112" s="40" t="s">
        <v>46</v>
      </c>
      <c r="U112" s="116" t="s">
        <v>427</v>
      </c>
      <c r="V112" s="117" t="s">
        <v>428</v>
      </c>
      <c r="W112" s="118" t="s">
        <v>429</v>
      </c>
      <c r="X112" s="119"/>
    </row>
    <row r="113" spans="2:24" s="35" customFormat="1" ht="34" x14ac:dyDescent="0.15">
      <c r="B113" s="364">
        <v>71</v>
      </c>
      <c r="C113" s="362"/>
      <c r="D113" s="353" t="s">
        <v>46</v>
      </c>
      <c r="E113" s="355" t="s">
        <v>430</v>
      </c>
      <c r="F113" s="366" t="s">
        <v>32</v>
      </c>
      <c r="G113" s="410" t="s">
        <v>431</v>
      </c>
      <c r="H113" s="357" t="s">
        <v>158</v>
      </c>
      <c r="I113" s="120" t="s">
        <v>418</v>
      </c>
      <c r="J113" s="413" t="s">
        <v>432</v>
      </c>
      <c r="K113" s="394" t="s">
        <v>43</v>
      </c>
      <c r="L113" s="23" t="s">
        <v>38</v>
      </c>
      <c r="M113" s="55">
        <f>2229689.68/N4</f>
        <v>643674.84988452657</v>
      </c>
      <c r="N113" s="339">
        <f>M113+M114+M115</f>
        <v>1079245.7015011548</v>
      </c>
      <c r="O113" s="94" t="s">
        <v>43</v>
      </c>
      <c r="P113" s="94" t="s">
        <v>43</v>
      </c>
      <c r="Q113" s="89" t="s">
        <v>43</v>
      </c>
      <c r="R113" s="46" t="s">
        <v>56</v>
      </c>
      <c r="S113" s="39" t="s">
        <v>46</v>
      </c>
      <c r="T113" s="40" t="s">
        <v>46</v>
      </c>
      <c r="U113" s="375" t="s">
        <v>420</v>
      </c>
      <c r="V113" s="377" t="s">
        <v>421</v>
      </c>
      <c r="W113" s="404"/>
      <c r="X113" s="390"/>
    </row>
    <row r="114" spans="2:24" s="35" customFormat="1" ht="15" customHeight="1" x14ac:dyDescent="0.15">
      <c r="B114" s="408"/>
      <c r="C114" s="362"/>
      <c r="D114" s="369"/>
      <c r="E114" s="370"/>
      <c r="F114" s="409"/>
      <c r="G114" s="411"/>
      <c r="H114" s="389"/>
      <c r="I114" s="120" t="s">
        <v>422</v>
      </c>
      <c r="J114" s="414"/>
      <c r="K114" s="416"/>
      <c r="L114" s="23" t="s">
        <v>38</v>
      </c>
      <c r="M114" s="62">
        <f>1731370.7/N4</f>
        <v>499818.33140877599</v>
      </c>
      <c r="N114" s="417"/>
      <c r="O114" s="94" t="s">
        <v>43</v>
      </c>
      <c r="P114" s="94" t="s">
        <v>43</v>
      </c>
      <c r="Q114" s="89" t="s">
        <v>43</v>
      </c>
      <c r="R114" s="46" t="s">
        <v>56</v>
      </c>
      <c r="S114" s="39" t="s">
        <v>46</v>
      </c>
      <c r="T114" s="40" t="s">
        <v>46</v>
      </c>
      <c r="U114" s="402"/>
      <c r="V114" s="403"/>
      <c r="W114" s="405"/>
      <c r="X114" s="407"/>
    </row>
    <row r="115" spans="2:24" s="35" customFormat="1" ht="15" customHeight="1" x14ac:dyDescent="0.15">
      <c r="B115" s="365"/>
      <c r="C115" s="362"/>
      <c r="D115" s="354"/>
      <c r="E115" s="356"/>
      <c r="F115" s="367"/>
      <c r="G115" s="412"/>
      <c r="H115" s="358"/>
      <c r="I115" s="120" t="s">
        <v>423</v>
      </c>
      <c r="J115" s="415"/>
      <c r="K115" s="395"/>
      <c r="L115" s="23" t="s">
        <v>38</v>
      </c>
      <c r="M115" s="62">
        <f>-222553.27/N4</f>
        <v>-64247.479792147802</v>
      </c>
      <c r="N115" s="340"/>
      <c r="O115" s="94" t="s">
        <v>43</v>
      </c>
      <c r="P115" s="94" t="s">
        <v>43</v>
      </c>
      <c r="Q115" s="89" t="s">
        <v>43</v>
      </c>
      <c r="R115" s="46" t="s">
        <v>56</v>
      </c>
      <c r="S115" s="39" t="s">
        <v>46</v>
      </c>
      <c r="T115" s="40" t="s">
        <v>46</v>
      </c>
      <c r="U115" s="376"/>
      <c r="V115" s="378"/>
      <c r="W115" s="406"/>
      <c r="X115" s="391"/>
    </row>
    <row r="116" spans="2:24" s="35" customFormat="1" ht="34" x14ac:dyDescent="0.15">
      <c r="B116" s="106">
        <v>72</v>
      </c>
      <c r="C116" s="362"/>
      <c r="D116" s="84" t="s">
        <v>46</v>
      </c>
      <c r="E116" s="107" t="s">
        <v>433</v>
      </c>
      <c r="F116" s="39" t="s">
        <v>32</v>
      </c>
      <c r="G116" s="100" t="s">
        <v>32</v>
      </c>
      <c r="H116" s="121" t="s">
        <v>231</v>
      </c>
      <c r="I116" s="120" t="s">
        <v>434</v>
      </c>
      <c r="J116" s="113" t="s">
        <v>435</v>
      </c>
      <c r="K116" s="120" t="s">
        <v>43</v>
      </c>
      <c r="L116" s="43" t="s">
        <v>43</v>
      </c>
      <c r="M116" s="44" t="s">
        <v>43</v>
      </c>
      <c r="N116" s="44" t="s">
        <v>43</v>
      </c>
      <c r="O116" s="45" t="s">
        <v>43</v>
      </c>
      <c r="P116" s="45" t="s">
        <v>436</v>
      </c>
      <c r="Q116" s="95" t="s">
        <v>43</v>
      </c>
      <c r="R116" s="46" t="s">
        <v>56</v>
      </c>
      <c r="S116" s="39" t="s">
        <v>46</v>
      </c>
      <c r="T116" s="40" t="s">
        <v>46</v>
      </c>
      <c r="U116" s="116" t="s">
        <v>217</v>
      </c>
      <c r="V116" s="117" t="s">
        <v>406</v>
      </c>
      <c r="W116" s="122"/>
      <c r="X116" s="119"/>
    </row>
    <row r="117" spans="2:24" s="35" customFormat="1" ht="119" x14ac:dyDescent="0.15">
      <c r="B117" s="51">
        <v>73</v>
      </c>
      <c r="C117" s="362"/>
      <c r="D117" s="84"/>
      <c r="E117" s="52" t="s">
        <v>437</v>
      </c>
      <c r="F117" s="39" t="s">
        <v>32</v>
      </c>
      <c r="G117" s="100" t="s">
        <v>437</v>
      </c>
      <c r="H117" s="32" t="s">
        <v>231</v>
      </c>
      <c r="I117" s="120" t="s">
        <v>438</v>
      </c>
      <c r="J117" s="104" t="s">
        <v>439</v>
      </c>
      <c r="K117" s="120" t="s">
        <v>43</v>
      </c>
      <c r="L117" s="43" t="s">
        <v>54</v>
      </c>
      <c r="M117" s="99">
        <v>22835.439999999999</v>
      </c>
      <c r="N117" s="99">
        <v>22835.439999999999</v>
      </c>
      <c r="O117" s="94" t="s">
        <v>43</v>
      </c>
      <c r="P117" s="94" t="s">
        <v>440</v>
      </c>
      <c r="Q117" s="89" t="s">
        <v>43</v>
      </c>
      <c r="R117" s="46" t="s">
        <v>56</v>
      </c>
      <c r="S117" s="39" t="s">
        <v>46</v>
      </c>
      <c r="T117" s="40" t="s">
        <v>46</v>
      </c>
      <c r="U117" s="123"/>
      <c r="V117" s="58"/>
      <c r="W117" s="110"/>
      <c r="X117" s="83"/>
    </row>
    <row r="118" spans="2:24" s="35" customFormat="1" ht="119" x14ac:dyDescent="0.15">
      <c r="B118" s="36">
        <v>74</v>
      </c>
      <c r="C118" s="362"/>
      <c r="D118" s="84"/>
      <c r="E118" s="38" t="s">
        <v>441</v>
      </c>
      <c r="F118" s="39" t="s">
        <v>32</v>
      </c>
      <c r="G118" s="100" t="s">
        <v>442</v>
      </c>
      <c r="H118" s="32" t="s">
        <v>231</v>
      </c>
      <c r="I118" s="120" t="s">
        <v>438</v>
      </c>
      <c r="J118" s="111" t="s">
        <v>443</v>
      </c>
      <c r="K118" s="120" t="s">
        <v>43</v>
      </c>
      <c r="L118" s="43" t="s">
        <v>54</v>
      </c>
      <c r="M118" s="99">
        <v>382807.21</v>
      </c>
      <c r="N118" s="99">
        <v>382807.21</v>
      </c>
      <c r="O118" s="94" t="s">
        <v>43</v>
      </c>
      <c r="P118" s="94" t="s">
        <v>43</v>
      </c>
      <c r="Q118" s="89" t="s">
        <v>43</v>
      </c>
      <c r="R118" s="46" t="s">
        <v>56</v>
      </c>
      <c r="S118" s="39" t="s">
        <v>46</v>
      </c>
      <c r="T118" s="40" t="s">
        <v>46</v>
      </c>
      <c r="U118" s="123"/>
      <c r="V118" s="58"/>
      <c r="W118" s="110"/>
      <c r="X118" s="83"/>
    </row>
    <row r="119" spans="2:24" s="35" customFormat="1" ht="34" x14ac:dyDescent="0.15">
      <c r="B119" s="36">
        <v>75</v>
      </c>
      <c r="C119" s="362"/>
      <c r="D119" s="84"/>
      <c r="E119" s="38" t="s">
        <v>444</v>
      </c>
      <c r="F119" s="39" t="s">
        <v>32</v>
      </c>
      <c r="G119" s="100" t="s">
        <v>444</v>
      </c>
      <c r="H119" s="32" t="s">
        <v>231</v>
      </c>
      <c r="I119" s="120" t="s">
        <v>445</v>
      </c>
      <c r="J119" s="111" t="s">
        <v>446</v>
      </c>
      <c r="K119" s="120" t="s">
        <v>43</v>
      </c>
      <c r="L119" s="43" t="s">
        <v>43</v>
      </c>
      <c r="M119" s="44" t="s">
        <v>43</v>
      </c>
      <c r="N119" s="44" t="s">
        <v>43</v>
      </c>
      <c r="O119" s="45" t="s">
        <v>43</v>
      </c>
      <c r="P119" s="45" t="s">
        <v>447</v>
      </c>
      <c r="Q119" s="95" t="s">
        <v>43</v>
      </c>
      <c r="R119" s="46" t="s">
        <v>56</v>
      </c>
      <c r="S119" s="39" t="s">
        <v>46</v>
      </c>
      <c r="T119" s="40" t="s">
        <v>46</v>
      </c>
      <c r="U119" s="116" t="s">
        <v>217</v>
      </c>
      <c r="V119" s="117" t="s">
        <v>406</v>
      </c>
      <c r="W119" s="122"/>
      <c r="X119" s="119"/>
    </row>
    <row r="120" spans="2:24" s="35" customFormat="1" ht="51" x14ac:dyDescent="0.15">
      <c r="B120" s="36">
        <v>76</v>
      </c>
      <c r="C120" s="362"/>
      <c r="D120" s="84"/>
      <c r="E120" s="38" t="s">
        <v>448</v>
      </c>
      <c r="F120" s="39" t="s">
        <v>32</v>
      </c>
      <c r="G120" s="100" t="s">
        <v>448</v>
      </c>
      <c r="H120" s="32" t="s">
        <v>231</v>
      </c>
      <c r="I120" s="120" t="s">
        <v>445</v>
      </c>
      <c r="J120" s="111" t="s">
        <v>449</v>
      </c>
      <c r="K120" s="120" t="s">
        <v>43</v>
      </c>
      <c r="L120" s="43" t="s">
        <v>43</v>
      </c>
      <c r="M120" s="44" t="s">
        <v>43</v>
      </c>
      <c r="N120" s="44" t="s">
        <v>43</v>
      </c>
      <c r="O120" s="45" t="s">
        <v>43</v>
      </c>
      <c r="P120" s="45" t="s">
        <v>450</v>
      </c>
      <c r="Q120" s="95" t="s">
        <v>43</v>
      </c>
      <c r="R120" s="46" t="s">
        <v>56</v>
      </c>
      <c r="S120" s="39" t="s">
        <v>46</v>
      </c>
      <c r="T120" s="40" t="s">
        <v>46</v>
      </c>
      <c r="U120" s="123" t="s">
        <v>451</v>
      </c>
      <c r="V120" s="58" t="s">
        <v>452</v>
      </c>
      <c r="W120" s="110"/>
      <c r="X120" s="83"/>
    </row>
    <row r="121" spans="2:24" s="35" customFormat="1" ht="34" x14ac:dyDescent="0.15">
      <c r="B121" s="36">
        <v>77</v>
      </c>
      <c r="C121" s="362"/>
      <c r="D121" s="84"/>
      <c r="E121" s="38" t="s">
        <v>453</v>
      </c>
      <c r="F121" s="39" t="s">
        <v>32</v>
      </c>
      <c r="G121" s="100" t="s">
        <v>453</v>
      </c>
      <c r="H121" s="32" t="s">
        <v>231</v>
      </c>
      <c r="I121" s="120" t="s">
        <v>445</v>
      </c>
      <c r="J121" s="111" t="s">
        <v>454</v>
      </c>
      <c r="K121" s="120" t="s">
        <v>43</v>
      </c>
      <c r="L121" s="43" t="s">
        <v>43</v>
      </c>
      <c r="M121" s="44" t="s">
        <v>43</v>
      </c>
      <c r="N121" s="44" t="s">
        <v>43</v>
      </c>
      <c r="O121" s="45" t="s">
        <v>43</v>
      </c>
      <c r="P121" s="45" t="s">
        <v>455</v>
      </c>
      <c r="Q121" s="95" t="s">
        <v>43</v>
      </c>
      <c r="R121" s="46" t="s">
        <v>56</v>
      </c>
      <c r="S121" s="39" t="s">
        <v>46</v>
      </c>
      <c r="T121" s="40" t="s">
        <v>46</v>
      </c>
      <c r="U121" s="123" t="s">
        <v>456</v>
      </c>
      <c r="V121" s="58" t="s">
        <v>457</v>
      </c>
      <c r="W121" s="110"/>
      <c r="X121" s="83"/>
    </row>
    <row r="122" spans="2:24" s="35" customFormat="1" ht="51" x14ac:dyDescent="0.15">
      <c r="B122" s="36">
        <v>78</v>
      </c>
      <c r="C122" s="362"/>
      <c r="D122" s="84"/>
      <c r="E122" s="38" t="s">
        <v>458</v>
      </c>
      <c r="F122" s="39" t="s">
        <v>32</v>
      </c>
      <c r="G122" s="100" t="s">
        <v>458</v>
      </c>
      <c r="H122" s="32" t="s">
        <v>231</v>
      </c>
      <c r="I122" s="120" t="s">
        <v>445</v>
      </c>
      <c r="J122" s="111" t="s">
        <v>459</v>
      </c>
      <c r="K122" s="120" t="s">
        <v>43</v>
      </c>
      <c r="L122" s="43" t="s">
        <v>43</v>
      </c>
      <c r="M122" s="44" t="s">
        <v>43</v>
      </c>
      <c r="N122" s="44" t="s">
        <v>43</v>
      </c>
      <c r="O122" s="45" t="s">
        <v>43</v>
      </c>
      <c r="P122" s="45" t="s">
        <v>450</v>
      </c>
      <c r="Q122" s="95" t="s">
        <v>43</v>
      </c>
      <c r="R122" s="46" t="s">
        <v>56</v>
      </c>
      <c r="S122" s="39" t="s">
        <v>46</v>
      </c>
      <c r="T122" s="40" t="s">
        <v>46</v>
      </c>
      <c r="U122" s="123" t="s">
        <v>451</v>
      </c>
      <c r="V122" s="58" t="s">
        <v>452</v>
      </c>
      <c r="W122" s="110"/>
      <c r="X122" s="83"/>
    </row>
    <row r="123" spans="2:24" s="35" customFormat="1" ht="34" x14ac:dyDescent="0.15">
      <c r="B123" s="36">
        <v>79</v>
      </c>
      <c r="C123" s="362"/>
      <c r="D123" s="84"/>
      <c r="E123" s="38" t="s">
        <v>460</v>
      </c>
      <c r="F123" s="39" t="s">
        <v>32</v>
      </c>
      <c r="G123" s="100" t="s">
        <v>461</v>
      </c>
      <c r="H123" s="32" t="s">
        <v>231</v>
      </c>
      <c r="I123" s="120" t="s">
        <v>445</v>
      </c>
      <c r="J123" s="111" t="s">
        <v>462</v>
      </c>
      <c r="K123" s="120" t="s">
        <v>43</v>
      </c>
      <c r="L123" s="43" t="s">
        <v>43</v>
      </c>
      <c r="M123" s="44" t="s">
        <v>43</v>
      </c>
      <c r="N123" s="44" t="s">
        <v>43</v>
      </c>
      <c r="O123" s="45" t="s">
        <v>43</v>
      </c>
      <c r="P123" s="45" t="s">
        <v>436</v>
      </c>
      <c r="Q123" s="95" t="s">
        <v>43</v>
      </c>
      <c r="R123" s="46" t="s">
        <v>56</v>
      </c>
      <c r="S123" s="39" t="s">
        <v>46</v>
      </c>
      <c r="T123" s="40" t="s">
        <v>46</v>
      </c>
      <c r="U123" s="123" t="s">
        <v>463</v>
      </c>
      <c r="V123" s="58" t="s">
        <v>464</v>
      </c>
      <c r="W123" s="110"/>
      <c r="X123" s="83"/>
    </row>
    <row r="124" spans="2:24" s="35" customFormat="1" ht="37.5" customHeight="1" x14ac:dyDescent="0.15">
      <c r="B124" s="36">
        <v>80</v>
      </c>
      <c r="C124" s="362"/>
      <c r="D124" s="84"/>
      <c r="E124" s="38" t="s">
        <v>465</v>
      </c>
      <c r="F124" s="39" t="s">
        <v>32</v>
      </c>
      <c r="G124" s="100" t="s">
        <v>465</v>
      </c>
      <c r="H124" s="32" t="s">
        <v>231</v>
      </c>
      <c r="I124" s="120" t="s">
        <v>445</v>
      </c>
      <c r="J124" s="111" t="s">
        <v>466</v>
      </c>
      <c r="K124" s="120" t="s">
        <v>43</v>
      </c>
      <c r="L124" s="43" t="s">
        <v>43</v>
      </c>
      <c r="M124" s="44" t="s">
        <v>43</v>
      </c>
      <c r="N124" s="44" t="s">
        <v>43</v>
      </c>
      <c r="O124" s="45" t="s">
        <v>43</v>
      </c>
      <c r="P124" s="45" t="s">
        <v>455</v>
      </c>
      <c r="Q124" s="95" t="s">
        <v>43</v>
      </c>
      <c r="R124" s="46" t="s">
        <v>56</v>
      </c>
      <c r="S124" s="39" t="s">
        <v>46</v>
      </c>
      <c r="T124" s="40" t="s">
        <v>46</v>
      </c>
      <c r="U124" s="123" t="s">
        <v>456</v>
      </c>
      <c r="V124" s="58" t="s">
        <v>457</v>
      </c>
      <c r="W124" s="110"/>
      <c r="X124" s="83"/>
    </row>
    <row r="125" spans="2:24" s="35" customFormat="1" ht="85" x14ac:dyDescent="0.15">
      <c r="B125" s="36">
        <v>81</v>
      </c>
      <c r="C125" s="362"/>
      <c r="D125" s="84"/>
      <c r="E125" s="38" t="s">
        <v>467</v>
      </c>
      <c r="F125" s="39" t="s">
        <v>32</v>
      </c>
      <c r="G125" s="100" t="s">
        <v>467</v>
      </c>
      <c r="H125" s="32" t="s">
        <v>231</v>
      </c>
      <c r="I125" s="120" t="s">
        <v>445</v>
      </c>
      <c r="J125" s="111" t="s">
        <v>468</v>
      </c>
      <c r="K125" s="120" t="s">
        <v>43</v>
      </c>
      <c r="L125" s="43" t="s">
        <v>43</v>
      </c>
      <c r="M125" s="44" t="s">
        <v>43</v>
      </c>
      <c r="N125" s="44" t="s">
        <v>43</v>
      </c>
      <c r="O125" s="45" t="s">
        <v>43</v>
      </c>
      <c r="P125" s="45" t="s">
        <v>469</v>
      </c>
      <c r="Q125" s="95" t="s">
        <v>43</v>
      </c>
      <c r="R125" s="46" t="s">
        <v>56</v>
      </c>
      <c r="S125" s="39" t="s">
        <v>46</v>
      </c>
      <c r="T125" s="40" t="s">
        <v>46</v>
      </c>
      <c r="U125" s="123" t="s">
        <v>470</v>
      </c>
      <c r="V125" s="58" t="s">
        <v>457</v>
      </c>
      <c r="W125" s="110"/>
      <c r="X125" s="83"/>
    </row>
    <row r="126" spans="2:24" s="35" customFormat="1" ht="34" x14ac:dyDescent="0.15">
      <c r="B126" s="36">
        <v>82</v>
      </c>
      <c r="C126" s="362"/>
      <c r="D126" s="84"/>
      <c r="E126" s="38" t="s">
        <v>471</v>
      </c>
      <c r="F126" s="39" t="s">
        <v>32</v>
      </c>
      <c r="G126" s="100" t="s">
        <v>461</v>
      </c>
      <c r="H126" s="32" t="s">
        <v>231</v>
      </c>
      <c r="I126" s="120" t="s">
        <v>445</v>
      </c>
      <c r="J126" s="111" t="s">
        <v>472</v>
      </c>
      <c r="K126" s="120" t="s">
        <v>43</v>
      </c>
      <c r="L126" s="43" t="s">
        <v>43</v>
      </c>
      <c r="M126" s="44" t="s">
        <v>43</v>
      </c>
      <c r="N126" s="44" t="s">
        <v>43</v>
      </c>
      <c r="O126" s="45" t="s">
        <v>43</v>
      </c>
      <c r="P126" s="45" t="s">
        <v>436</v>
      </c>
      <c r="Q126" s="95" t="s">
        <v>43</v>
      </c>
      <c r="R126" s="46" t="s">
        <v>56</v>
      </c>
      <c r="S126" s="39" t="s">
        <v>46</v>
      </c>
      <c r="T126" s="40" t="s">
        <v>46</v>
      </c>
      <c r="U126" s="123" t="s">
        <v>463</v>
      </c>
      <c r="V126" s="58" t="s">
        <v>464</v>
      </c>
      <c r="W126" s="110"/>
      <c r="X126" s="83"/>
    </row>
    <row r="127" spans="2:24" s="35" customFormat="1" ht="68" x14ac:dyDescent="0.15">
      <c r="B127" s="36">
        <v>83</v>
      </c>
      <c r="C127" s="362"/>
      <c r="D127" s="84"/>
      <c r="E127" s="38" t="s">
        <v>473</v>
      </c>
      <c r="F127" s="39" t="s">
        <v>32</v>
      </c>
      <c r="G127" s="100" t="s">
        <v>473</v>
      </c>
      <c r="H127" s="32" t="s">
        <v>231</v>
      </c>
      <c r="I127" s="120" t="s">
        <v>445</v>
      </c>
      <c r="J127" s="111" t="s">
        <v>474</v>
      </c>
      <c r="K127" s="120" t="s">
        <v>43</v>
      </c>
      <c r="L127" s="43" t="s">
        <v>43</v>
      </c>
      <c r="M127" s="44" t="s">
        <v>43</v>
      </c>
      <c r="N127" s="44" t="s">
        <v>43</v>
      </c>
      <c r="O127" s="45" t="s">
        <v>43</v>
      </c>
      <c r="P127" s="45" t="s">
        <v>475</v>
      </c>
      <c r="Q127" s="95" t="s">
        <v>43</v>
      </c>
      <c r="R127" s="46" t="s">
        <v>56</v>
      </c>
      <c r="S127" s="39" t="s">
        <v>46</v>
      </c>
      <c r="T127" s="40" t="s">
        <v>46</v>
      </c>
      <c r="U127" s="123" t="s">
        <v>398</v>
      </c>
      <c r="V127" s="58" t="s">
        <v>406</v>
      </c>
      <c r="W127" s="110"/>
      <c r="X127" s="83"/>
    </row>
    <row r="128" spans="2:24" s="35" customFormat="1" ht="34" x14ac:dyDescent="0.15">
      <c r="B128" s="36">
        <v>84</v>
      </c>
      <c r="C128" s="362"/>
      <c r="D128" s="84"/>
      <c r="E128" s="38" t="s">
        <v>476</v>
      </c>
      <c r="F128" s="39" t="s">
        <v>32</v>
      </c>
      <c r="G128" s="100" t="s">
        <v>477</v>
      </c>
      <c r="H128" s="32" t="s">
        <v>231</v>
      </c>
      <c r="I128" s="120" t="s">
        <v>445</v>
      </c>
      <c r="J128" s="111" t="s">
        <v>462</v>
      </c>
      <c r="K128" s="120" t="s">
        <v>43</v>
      </c>
      <c r="L128" s="43" t="s">
        <v>43</v>
      </c>
      <c r="M128" s="44" t="s">
        <v>43</v>
      </c>
      <c r="N128" s="44" t="s">
        <v>43</v>
      </c>
      <c r="O128" s="45" t="s">
        <v>43</v>
      </c>
      <c r="P128" s="45" t="s">
        <v>478</v>
      </c>
      <c r="Q128" s="95" t="s">
        <v>43</v>
      </c>
      <c r="R128" s="46" t="s">
        <v>56</v>
      </c>
      <c r="S128" s="39" t="s">
        <v>46</v>
      </c>
      <c r="T128" s="40" t="s">
        <v>46</v>
      </c>
      <c r="U128" s="123" t="s">
        <v>463</v>
      </c>
      <c r="V128" s="58" t="s">
        <v>464</v>
      </c>
      <c r="W128" s="110"/>
      <c r="X128" s="83"/>
    </row>
    <row r="129" spans="2:24" s="35" customFormat="1" ht="34" x14ac:dyDescent="0.15">
      <c r="B129" s="36">
        <v>7</v>
      </c>
      <c r="C129" s="362"/>
      <c r="D129" s="84"/>
      <c r="E129" s="38" t="s">
        <v>479</v>
      </c>
      <c r="F129" s="39" t="s">
        <v>32</v>
      </c>
      <c r="G129" s="100" t="s">
        <v>480</v>
      </c>
      <c r="H129" s="32" t="s">
        <v>231</v>
      </c>
      <c r="I129" s="120" t="s">
        <v>445</v>
      </c>
      <c r="J129" s="111" t="s">
        <v>462</v>
      </c>
      <c r="K129" s="120" t="s">
        <v>43</v>
      </c>
      <c r="L129" s="43" t="s">
        <v>43</v>
      </c>
      <c r="M129" s="44" t="s">
        <v>43</v>
      </c>
      <c r="N129" s="44" t="s">
        <v>43</v>
      </c>
      <c r="O129" s="45" t="s">
        <v>43</v>
      </c>
      <c r="P129" s="45" t="s">
        <v>478</v>
      </c>
      <c r="Q129" s="95" t="s">
        <v>43</v>
      </c>
      <c r="R129" s="46" t="s">
        <v>56</v>
      </c>
      <c r="S129" s="39" t="s">
        <v>46</v>
      </c>
      <c r="T129" s="40" t="s">
        <v>46</v>
      </c>
      <c r="U129" s="123" t="s">
        <v>463</v>
      </c>
      <c r="V129" s="58" t="s">
        <v>464</v>
      </c>
      <c r="W129" s="110"/>
      <c r="X129" s="83"/>
    </row>
    <row r="130" spans="2:24" s="35" customFormat="1" ht="37.5" customHeight="1" x14ac:dyDescent="0.15">
      <c r="B130" s="36">
        <v>8</v>
      </c>
      <c r="C130" s="363"/>
      <c r="D130" s="84"/>
      <c r="E130" s="38" t="s">
        <v>481</v>
      </c>
      <c r="F130" s="39" t="s">
        <v>32</v>
      </c>
      <c r="G130" s="100" t="s">
        <v>481</v>
      </c>
      <c r="H130" s="32" t="s">
        <v>231</v>
      </c>
      <c r="I130" s="120" t="s">
        <v>445</v>
      </c>
      <c r="J130" s="111" t="s">
        <v>482</v>
      </c>
      <c r="K130" s="120" t="s">
        <v>43</v>
      </c>
      <c r="L130" s="43" t="s">
        <v>43</v>
      </c>
      <c r="M130" s="44" t="s">
        <v>43</v>
      </c>
      <c r="N130" s="44" t="s">
        <v>43</v>
      </c>
      <c r="O130" s="45" t="s">
        <v>43</v>
      </c>
      <c r="P130" s="45" t="s">
        <v>483</v>
      </c>
      <c r="Q130" s="95" t="s">
        <v>43</v>
      </c>
      <c r="R130" s="46" t="s">
        <v>56</v>
      </c>
      <c r="S130" s="39" t="s">
        <v>46</v>
      </c>
      <c r="T130" s="40" t="s">
        <v>46</v>
      </c>
      <c r="U130" s="123" t="s">
        <v>484</v>
      </c>
      <c r="V130" s="58" t="s">
        <v>457</v>
      </c>
      <c r="W130" s="110"/>
      <c r="X130" s="83"/>
    </row>
    <row r="131" spans="2:24" s="35" customFormat="1" ht="84" customHeight="1" x14ac:dyDescent="0.15">
      <c r="B131" s="364">
        <v>38</v>
      </c>
      <c r="C131" s="361" t="s">
        <v>485</v>
      </c>
      <c r="D131" s="353" t="s">
        <v>46</v>
      </c>
      <c r="E131" s="355" t="s">
        <v>486</v>
      </c>
      <c r="F131" s="366" t="s">
        <v>90</v>
      </c>
      <c r="G131" s="366" t="s">
        <v>487</v>
      </c>
      <c r="H131" s="357" t="s">
        <v>34</v>
      </c>
      <c r="I131" s="385" t="s">
        <v>488</v>
      </c>
      <c r="J131" s="357" t="s">
        <v>489</v>
      </c>
      <c r="K131" s="394" t="s">
        <v>43</v>
      </c>
      <c r="L131" s="387" t="s">
        <v>38</v>
      </c>
      <c r="M131" s="400">
        <f>(7308740.53/1.18)/N4</f>
        <v>1788062.3287470154</v>
      </c>
      <c r="N131" s="359">
        <f>(8624313.83/1.18)/N4</f>
        <v>2109913.549046855</v>
      </c>
      <c r="O131" s="341" t="s">
        <v>490</v>
      </c>
      <c r="P131" s="341" t="s">
        <v>491</v>
      </c>
      <c r="Q131" s="343">
        <v>40</v>
      </c>
      <c r="R131" s="396" t="s">
        <v>492</v>
      </c>
      <c r="S131" s="18" t="s">
        <v>493</v>
      </c>
      <c r="T131" s="19">
        <v>0.5</v>
      </c>
      <c r="U131" s="375" t="s">
        <v>494</v>
      </c>
      <c r="V131" s="377" t="s">
        <v>495</v>
      </c>
      <c r="W131" s="398"/>
      <c r="X131" s="390"/>
    </row>
    <row r="132" spans="2:24" s="35" customFormat="1" ht="84" customHeight="1" x14ac:dyDescent="0.15">
      <c r="B132" s="365"/>
      <c r="C132" s="363"/>
      <c r="D132" s="354"/>
      <c r="E132" s="356"/>
      <c r="F132" s="367"/>
      <c r="G132" s="367"/>
      <c r="H132" s="358"/>
      <c r="I132" s="386"/>
      <c r="J132" s="358"/>
      <c r="K132" s="395"/>
      <c r="L132" s="388"/>
      <c r="M132" s="401"/>
      <c r="N132" s="360"/>
      <c r="O132" s="342"/>
      <c r="P132" s="342"/>
      <c r="Q132" s="344"/>
      <c r="R132" s="397"/>
      <c r="S132" s="18" t="s">
        <v>45</v>
      </c>
      <c r="T132" s="19">
        <v>0.5</v>
      </c>
      <c r="U132" s="376"/>
      <c r="V132" s="378"/>
      <c r="W132" s="399"/>
      <c r="X132" s="391"/>
    </row>
    <row r="133" spans="2:24" ht="102" x14ac:dyDescent="0.15">
      <c r="B133" s="345">
        <v>14</v>
      </c>
      <c r="C133" s="392" t="s">
        <v>496</v>
      </c>
      <c r="D133" s="353" t="s">
        <v>46</v>
      </c>
      <c r="E133" s="355" t="s">
        <v>497</v>
      </c>
      <c r="F133" s="349" t="s">
        <v>48</v>
      </c>
      <c r="G133" s="366" t="s">
        <v>498</v>
      </c>
      <c r="H133" s="357" t="s">
        <v>499</v>
      </c>
      <c r="I133" s="71" t="s">
        <v>500</v>
      </c>
      <c r="J133" s="357" t="s">
        <v>501</v>
      </c>
      <c r="K133" s="394" t="s">
        <v>53</v>
      </c>
      <c r="L133" s="387" t="s">
        <v>54</v>
      </c>
      <c r="M133" s="359">
        <v>157397.68</v>
      </c>
      <c r="N133" s="339">
        <v>135746.82</v>
      </c>
      <c r="O133" s="124">
        <v>42513</v>
      </c>
      <c r="P133" s="45">
        <v>42637</v>
      </c>
      <c r="Q133" s="343">
        <f>P134-O133+1</f>
        <v>131</v>
      </c>
      <c r="R133" s="30" t="s">
        <v>56</v>
      </c>
      <c r="S133" s="39" t="s">
        <v>46</v>
      </c>
      <c r="T133" s="40" t="s">
        <v>46</v>
      </c>
      <c r="U133" s="47" t="s">
        <v>502</v>
      </c>
      <c r="V133" s="48" t="s">
        <v>503</v>
      </c>
      <c r="W133" s="81" t="s">
        <v>504</v>
      </c>
      <c r="X133" s="82" t="s">
        <v>505</v>
      </c>
    </row>
    <row r="134" spans="2:24" ht="68.25" customHeight="1" x14ac:dyDescent="0.15">
      <c r="B134" s="346"/>
      <c r="C134" s="393"/>
      <c r="D134" s="354"/>
      <c r="E134" s="356"/>
      <c r="F134" s="350"/>
      <c r="G134" s="367"/>
      <c r="H134" s="358"/>
      <c r="I134" s="71" t="s">
        <v>242</v>
      </c>
      <c r="J134" s="358"/>
      <c r="K134" s="395"/>
      <c r="L134" s="388"/>
      <c r="M134" s="360"/>
      <c r="N134" s="340"/>
      <c r="O134" s="65">
        <v>42638</v>
      </c>
      <c r="P134" s="65">
        <v>42643</v>
      </c>
      <c r="Q134" s="344"/>
      <c r="R134" s="30" t="s">
        <v>56</v>
      </c>
      <c r="S134" s="39" t="s">
        <v>46</v>
      </c>
      <c r="T134" s="40" t="s">
        <v>46</v>
      </c>
      <c r="U134" s="47" t="s">
        <v>506</v>
      </c>
      <c r="V134" s="48" t="s">
        <v>161</v>
      </c>
      <c r="W134" s="125"/>
      <c r="X134" s="83"/>
    </row>
    <row r="135" spans="2:24" ht="318" customHeight="1" x14ac:dyDescent="0.15">
      <c r="B135" s="345">
        <v>5</v>
      </c>
      <c r="C135" s="351" t="s">
        <v>507</v>
      </c>
      <c r="D135" s="64" t="s">
        <v>46</v>
      </c>
      <c r="E135" s="355" t="s">
        <v>508</v>
      </c>
      <c r="F135" s="349" t="s">
        <v>48</v>
      </c>
      <c r="G135" s="75" t="s">
        <v>509</v>
      </c>
      <c r="H135" s="40" t="s">
        <v>510</v>
      </c>
      <c r="I135" s="71" t="s">
        <v>511</v>
      </c>
      <c r="J135" s="357" t="s">
        <v>512</v>
      </c>
      <c r="K135" s="42" t="s">
        <v>53</v>
      </c>
      <c r="L135" s="43" t="s">
        <v>54</v>
      </c>
      <c r="M135" s="44">
        <v>4599467.4000000004</v>
      </c>
      <c r="N135" s="77">
        <v>4812126.04</v>
      </c>
      <c r="O135" s="56">
        <v>42901</v>
      </c>
      <c r="P135" s="56">
        <v>43084</v>
      </c>
      <c r="Q135" s="63">
        <f>P135-O135+1</f>
        <v>184</v>
      </c>
      <c r="R135" s="30" t="s">
        <v>56</v>
      </c>
      <c r="S135" s="39" t="s">
        <v>46</v>
      </c>
      <c r="T135" s="40" t="s">
        <v>46</v>
      </c>
      <c r="U135" s="47" t="s">
        <v>513</v>
      </c>
      <c r="V135" s="48" t="s">
        <v>514</v>
      </c>
      <c r="W135" s="81" t="s">
        <v>515</v>
      </c>
      <c r="X135" s="82" t="s">
        <v>516</v>
      </c>
    </row>
    <row r="136" spans="2:24" ht="63.75" customHeight="1" x14ac:dyDescent="0.15">
      <c r="B136" s="346"/>
      <c r="C136" s="352"/>
      <c r="D136" s="126" t="s">
        <v>517</v>
      </c>
      <c r="E136" s="356"/>
      <c r="F136" s="350"/>
      <c r="G136" s="127" t="s">
        <v>518</v>
      </c>
      <c r="H136" s="40" t="s">
        <v>519</v>
      </c>
      <c r="I136" s="42" t="s">
        <v>520</v>
      </c>
      <c r="J136" s="358"/>
      <c r="K136" s="42" t="s">
        <v>43</v>
      </c>
      <c r="L136" s="43" t="s">
        <v>43</v>
      </c>
      <c r="M136" s="77" t="s">
        <v>43</v>
      </c>
      <c r="N136" s="77" t="s">
        <v>43</v>
      </c>
      <c r="O136" s="56" t="s">
        <v>43</v>
      </c>
      <c r="P136" s="56" t="s">
        <v>521</v>
      </c>
      <c r="Q136" s="45" t="s">
        <v>43</v>
      </c>
      <c r="R136" s="30" t="s">
        <v>56</v>
      </c>
      <c r="S136" s="39" t="s">
        <v>46</v>
      </c>
      <c r="T136" s="40" t="s">
        <v>46</v>
      </c>
      <c r="U136" s="47" t="s">
        <v>43</v>
      </c>
      <c r="V136" s="48" t="s">
        <v>43</v>
      </c>
      <c r="W136" s="49"/>
      <c r="X136" s="50"/>
    </row>
    <row r="137" spans="2:24" ht="85" x14ac:dyDescent="0.15">
      <c r="B137" s="345">
        <v>15</v>
      </c>
      <c r="C137" s="352"/>
      <c r="D137" s="353" t="s">
        <v>46</v>
      </c>
      <c r="E137" s="355" t="s">
        <v>522</v>
      </c>
      <c r="F137" s="349" t="s">
        <v>48</v>
      </c>
      <c r="G137" s="39" t="s">
        <v>523</v>
      </c>
      <c r="H137" s="357" t="s">
        <v>519</v>
      </c>
      <c r="I137" s="42" t="s">
        <v>524</v>
      </c>
      <c r="J137" s="357" t="s">
        <v>525</v>
      </c>
      <c r="K137" s="42" t="s">
        <v>74</v>
      </c>
      <c r="L137" s="387" t="s">
        <v>54</v>
      </c>
      <c r="M137" s="44">
        <f>119000</f>
        <v>119000</v>
      </c>
      <c r="N137" s="359" t="s">
        <v>43</v>
      </c>
      <c r="O137" s="341">
        <v>42534</v>
      </c>
      <c r="P137" s="341">
        <v>42579</v>
      </c>
      <c r="Q137" s="343">
        <f>P137-O137+1</f>
        <v>46</v>
      </c>
      <c r="R137" s="385" t="s">
        <v>56</v>
      </c>
      <c r="S137" s="366" t="s">
        <v>46</v>
      </c>
      <c r="T137" s="357" t="s">
        <v>46</v>
      </c>
      <c r="U137" s="375" t="s">
        <v>526</v>
      </c>
      <c r="V137" s="377" t="s">
        <v>527</v>
      </c>
      <c r="W137" s="379" t="s">
        <v>528</v>
      </c>
      <c r="X137" s="381" t="s">
        <v>529</v>
      </c>
    </row>
    <row r="138" spans="2:24" ht="68" x14ac:dyDescent="0.15">
      <c r="B138" s="346"/>
      <c r="C138" s="383"/>
      <c r="D138" s="354"/>
      <c r="E138" s="356"/>
      <c r="F138" s="350"/>
      <c r="G138" s="39" t="s">
        <v>530</v>
      </c>
      <c r="H138" s="358"/>
      <c r="I138" s="42" t="s">
        <v>98</v>
      </c>
      <c r="J138" s="358"/>
      <c r="K138" s="42" t="s">
        <v>53</v>
      </c>
      <c r="L138" s="388"/>
      <c r="M138" s="44">
        <v>9285.16</v>
      </c>
      <c r="N138" s="360"/>
      <c r="O138" s="342"/>
      <c r="P138" s="342"/>
      <c r="Q138" s="344"/>
      <c r="R138" s="386"/>
      <c r="S138" s="367"/>
      <c r="T138" s="358"/>
      <c r="U138" s="376"/>
      <c r="V138" s="378"/>
      <c r="W138" s="380"/>
      <c r="X138" s="382"/>
    </row>
    <row r="139" spans="2:24" ht="265.5" customHeight="1" x14ac:dyDescent="0.15">
      <c r="B139" s="73" t="s">
        <v>531</v>
      </c>
      <c r="C139" s="351" t="s">
        <v>532</v>
      </c>
      <c r="D139" s="64" t="s">
        <v>46</v>
      </c>
      <c r="E139" s="52" t="s">
        <v>533</v>
      </c>
      <c r="F139" s="128" t="s">
        <v>32</v>
      </c>
      <c r="G139" s="129" t="s">
        <v>534</v>
      </c>
      <c r="H139" s="32" t="s">
        <v>535</v>
      </c>
      <c r="I139" s="71" t="s">
        <v>536</v>
      </c>
      <c r="J139" s="357" t="s">
        <v>537</v>
      </c>
      <c r="K139" s="71" t="s">
        <v>53</v>
      </c>
      <c r="L139" s="23" t="s">
        <v>54</v>
      </c>
      <c r="M139" s="130">
        <v>2315986.73</v>
      </c>
      <c r="N139" s="130">
        <v>2315986.73</v>
      </c>
      <c r="O139" s="56" t="s">
        <v>538</v>
      </c>
      <c r="P139" s="56">
        <v>43471</v>
      </c>
      <c r="Q139" s="29">
        <f>P139-O139+1</f>
        <v>133</v>
      </c>
      <c r="R139" s="30" t="s">
        <v>56</v>
      </c>
      <c r="S139" s="31" t="s">
        <v>46</v>
      </c>
      <c r="T139" s="32" t="s">
        <v>46</v>
      </c>
      <c r="U139" s="57" t="s">
        <v>539</v>
      </c>
      <c r="V139" s="58" t="s">
        <v>540</v>
      </c>
      <c r="W139" s="131" t="s">
        <v>541</v>
      </c>
      <c r="X139" s="82">
        <v>1</v>
      </c>
    </row>
    <row r="140" spans="2:24" ht="83.25" customHeight="1" x14ac:dyDescent="0.15">
      <c r="B140" s="73" t="s">
        <v>542</v>
      </c>
      <c r="C140" s="352"/>
      <c r="D140" s="64" t="s">
        <v>46</v>
      </c>
      <c r="E140" s="52" t="s">
        <v>543</v>
      </c>
      <c r="F140" s="128" t="s">
        <v>32</v>
      </c>
      <c r="G140" s="132" t="s">
        <v>544</v>
      </c>
      <c r="H140" s="32" t="s">
        <v>535</v>
      </c>
      <c r="I140" s="133" t="s">
        <v>43</v>
      </c>
      <c r="J140" s="358"/>
      <c r="K140" s="133" t="s">
        <v>43</v>
      </c>
      <c r="L140" s="134" t="s">
        <v>43</v>
      </c>
      <c r="M140" s="135" t="s">
        <v>43</v>
      </c>
      <c r="N140" s="27">
        <v>790674.09</v>
      </c>
      <c r="O140" s="56" t="s">
        <v>545</v>
      </c>
      <c r="P140" s="56" t="s">
        <v>546</v>
      </c>
      <c r="Q140" s="29" t="s">
        <v>43</v>
      </c>
      <c r="R140" s="136" t="s">
        <v>56</v>
      </c>
      <c r="S140" s="137" t="s">
        <v>46</v>
      </c>
      <c r="T140" s="138" t="s">
        <v>46</v>
      </c>
      <c r="U140" s="57" t="s">
        <v>43</v>
      </c>
      <c r="V140" s="58" t="s">
        <v>43</v>
      </c>
      <c r="W140" s="131" t="s">
        <v>43</v>
      </c>
      <c r="X140" s="82" t="s">
        <v>43</v>
      </c>
    </row>
    <row r="141" spans="2:24" ht="249" customHeight="1" x14ac:dyDescent="0.15">
      <c r="B141" s="345">
        <v>59</v>
      </c>
      <c r="C141" s="352"/>
      <c r="D141" s="353" t="s">
        <v>46</v>
      </c>
      <c r="E141" s="355" t="s">
        <v>547</v>
      </c>
      <c r="F141" s="349" t="s">
        <v>548</v>
      </c>
      <c r="G141" s="139" t="s">
        <v>549</v>
      </c>
      <c r="H141" s="372" t="s">
        <v>535</v>
      </c>
      <c r="I141" s="41" t="s">
        <v>107</v>
      </c>
      <c r="J141" s="357" t="s">
        <v>550</v>
      </c>
      <c r="K141" s="42" t="s">
        <v>53</v>
      </c>
      <c r="L141" s="43" t="s">
        <v>54</v>
      </c>
      <c r="M141" s="77">
        <v>812329.91</v>
      </c>
      <c r="N141" s="359">
        <f>M141+M142+M143</f>
        <v>988802.33000000007</v>
      </c>
      <c r="O141" s="56">
        <v>42716</v>
      </c>
      <c r="P141" s="56">
        <v>42775</v>
      </c>
      <c r="Q141" s="29">
        <f t="shared" ref="Q141:Q147" si="3">P141-O141+1</f>
        <v>60</v>
      </c>
      <c r="R141" s="30" t="s">
        <v>56</v>
      </c>
      <c r="S141" s="39" t="s">
        <v>46</v>
      </c>
      <c r="T141" s="40" t="s">
        <v>46</v>
      </c>
      <c r="U141" s="47" t="s">
        <v>551</v>
      </c>
      <c r="V141" s="48" t="s">
        <v>552</v>
      </c>
      <c r="W141" s="131" t="s">
        <v>553</v>
      </c>
      <c r="X141" s="82" t="s">
        <v>554</v>
      </c>
    </row>
    <row r="142" spans="2:24" ht="102" x14ac:dyDescent="0.15">
      <c r="B142" s="368"/>
      <c r="C142" s="352"/>
      <c r="D142" s="369"/>
      <c r="E142" s="370"/>
      <c r="F142" s="371"/>
      <c r="G142" s="18" t="s">
        <v>555</v>
      </c>
      <c r="H142" s="373"/>
      <c r="I142" s="41" t="s">
        <v>556</v>
      </c>
      <c r="J142" s="389"/>
      <c r="K142" s="42" t="s">
        <v>53</v>
      </c>
      <c r="L142" s="43" t="s">
        <v>54</v>
      </c>
      <c r="M142" s="77">
        <v>176472.42</v>
      </c>
      <c r="N142" s="384"/>
      <c r="O142" s="56">
        <v>42847</v>
      </c>
      <c r="P142" s="56">
        <v>42885</v>
      </c>
      <c r="Q142" s="63">
        <f t="shared" si="3"/>
        <v>39</v>
      </c>
      <c r="R142" s="30" t="s">
        <v>56</v>
      </c>
      <c r="S142" s="39" t="s">
        <v>46</v>
      </c>
      <c r="T142" s="40" t="s">
        <v>46</v>
      </c>
      <c r="U142" s="57" t="s">
        <v>557</v>
      </c>
      <c r="V142" s="58" t="s">
        <v>161</v>
      </c>
      <c r="W142" s="131" t="s">
        <v>558</v>
      </c>
      <c r="X142" s="140"/>
    </row>
    <row r="143" spans="2:24" ht="34" x14ac:dyDescent="0.15">
      <c r="B143" s="368"/>
      <c r="C143" s="352"/>
      <c r="D143" s="369"/>
      <c r="E143" s="370"/>
      <c r="F143" s="371"/>
      <c r="G143" s="85" t="s">
        <v>46</v>
      </c>
      <c r="H143" s="373"/>
      <c r="I143" s="41" t="s">
        <v>101</v>
      </c>
      <c r="J143" s="389"/>
      <c r="K143" s="42" t="s">
        <v>53</v>
      </c>
      <c r="L143" s="43" t="s">
        <v>54</v>
      </c>
      <c r="M143" s="77">
        <v>0</v>
      </c>
      <c r="N143" s="384"/>
      <c r="O143" s="56">
        <v>42886</v>
      </c>
      <c r="P143" s="56">
        <v>42906</v>
      </c>
      <c r="Q143" s="63">
        <f t="shared" si="3"/>
        <v>21</v>
      </c>
      <c r="R143" s="30" t="s">
        <v>56</v>
      </c>
      <c r="S143" s="39" t="s">
        <v>46</v>
      </c>
      <c r="T143" s="40" t="s">
        <v>46</v>
      </c>
      <c r="U143" s="57" t="s">
        <v>557</v>
      </c>
      <c r="V143" s="58" t="s">
        <v>161</v>
      </c>
      <c r="W143" s="131" t="s">
        <v>558</v>
      </c>
      <c r="X143" s="140"/>
    </row>
    <row r="144" spans="2:24" ht="34" x14ac:dyDescent="0.15">
      <c r="B144" s="346"/>
      <c r="C144" s="383"/>
      <c r="D144" s="354"/>
      <c r="E144" s="356"/>
      <c r="F144" s="350"/>
      <c r="G144" s="85" t="s">
        <v>46</v>
      </c>
      <c r="H144" s="374"/>
      <c r="I144" s="41" t="s">
        <v>559</v>
      </c>
      <c r="J144" s="358"/>
      <c r="K144" s="42" t="s">
        <v>53</v>
      </c>
      <c r="L144" s="43" t="s">
        <v>54</v>
      </c>
      <c r="M144" s="77">
        <v>0</v>
      </c>
      <c r="N144" s="360"/>
      <c r="O144" s="56">
        <v>42907</v>
      </c>
      <c r="P144" s="56">
        <v>42947</v>
      </c>
      <c r="Q144" s="63">
        <f t="shared" si="3"/>
        <v>41</v>
      </c>
      <c r="R144" s="30" t="s">
        <v>56</v>
      </c>
      <c r="S144" s="39" t="s">
        <v>46</v>
      </c>
      <c r="T144" s="40" t="s">
        <v>46</v>
      </c>
      <c r="U144" s="57" t="s">
        <v>557</v>
      </c>
      <c r="V144" s="58" t="s">
        <v>161</v>
      </c>
      <c r="W144" s="131" t="s">
        <v>558</v>
      </c>
      <c r="X144" s="140"/>
    </row>
    <row r="145" spans="2:24" ht="298.5" customHeight="1" x14ac:dyDescent="0.15">
      <c r="B145" s="36">
        <v>90</v>
      </c>
      <c r="C145" s="361" t="s">
        <v>560</v>
      </c>
      <c r="D145" s="84" t="s">
        <v>46</v>
      </c>
      <c r="E145" s="107" t="s">
        <v>561</v>
      </c>
      <c r="F145" s="141" t="s">
        <v>562</v>
      </c>
      <c r="G145" s="139" t="s">
        <v>563</v>
      </c>
      <c r="H145" s="142" t="s">
        <v>564</v>
      </c>
      <c r="I145" s="41" t="s">
        <v>257</v>
      </c>
      <c r="J145" s="143">
        <v>5300001200</v>
      </c>
      <c r="K145" s="42" t="s">
        <v>53</v>
      </c>
      <c r="L145" s="43" t="s">
        <v>54</v>
      </c>
      <c r="M145" s="77">
        <v>38521.442695143807</v>
      </c>
      <c r="N145" s="72" t="s">
        <v>565</v>
      </c>
      <c r="O145" s="144">
        <v>44007</v>
      </c>
      <c r="P145" s="145">
        <v>44035</v>
      </c>
      <c r="Q145" s="63">
        <f t="shared" si="3"/>
        <v>29</v>
      </c>
      <c r="R145" s="46" t="s">
        <v>56</v>
      </c>
      <c r="S145" s="39" t="s">
        <v>46</v>
      </c>
      <c r="T145" s="40" t="s">
        <v>46</v>
      </c>
      <c r="U145" s="146" t="s">
        <v>566</v>
      </c>
      <c r="V145" s="147" t="s">
        <v>567</v>
      </c>
      <c r="W145" s="148" t="s">
        <v>568</v>
      </c>
      <c r="X145" s="69" t="s">
        <v>569</v>
      </c>
    </row>
    <row r="146" spans="2:24" s="35" customFormat="1" ht="369.75" customHeight="1" x14ac:dyDescent="0.15">
      <c r="B146" s="36">
        <v>42</v>
      </c>
      <c r="C146" s="362"/>
      <c r="D146" s="64" t="s">
        <v>46</v>
      </c>
      <c r="E146" s="38" t="s">
        <v>570</v>
      </c>
      <c r="F146" s="39" t="s">
        <v>562</v>
      </c>
      <c r="G146" s="75" t="s">
        <v>571</v>
      </c>
      <c r="H146" s="40" t="s">
        <v>564</v>
      </c>
      <c r="I146" s="41" t="s">
        <v>107</v>
      </c>
      <c r="J146" s="93" t="s">
        <v>572</v>
      </c>
      <c r="K146" s="42" t="s">
        <v>53</v>
      </c>
      <c r="L146" s="43" t="s">
        <v>54</v>
      </c>
      <c r="M146" s="44">
        <v>1544379.78</v>
      </c>
      <c r="N146" s="44">
        <v>1395801.28</v>
      </c>
      <c r="O146" s="56">
        <v>43675</v>
      </c>
      <c r="P146" s="56">
        <v>43808</v>
      </c>
      <c r="Q146" s="63">
        <f t="shared" si="3"/>
        <v>134</v>
      </c>
      <c r="R146" s="41" t="s">
        <v>56</v>
      </c>
      <c r="S146" s="39" t="s">
        <v>46</v>
      </c>
      <c r="T146" s="40" t="s">
        <v>46</v>
      </c>
      <c r="U146" s="149" t="s">
        <v>573</v>
      </c>
      <c r="V146" s="150" t="s">
        <v>574</v>
      </c>
      <c r="W146" s="151" t="s">
        <v>575</v>
      </c>
      <c r="X146" s="152" t="s">
        <v>576</v>
      </c>
    </row>
    <row r="147" spans="2:24" s="35" customFormat="1" ht="108.75" customHeight="1" x14ac:dyDescent="0.15">
      <c r="B147" s="36">
        <v>39</v>
      </c>
      <c r="C147" s="361" t="s">
        <v>577</v>
      </c>
      <c r="D147" s="353" t="s">
        <v>46</v>
      </c>
      <c r="E147" s="355" t="s">
        <v>578</v>
      </c>
      <c r="F147" s="366" t="s">
        <v>32</v>
      </c>
      <c r="G147" s="39" t="s">
        <v>579</v>
      </c>
      <c r="H147" s="357" t="s">
        <v>231</v>
      </c>
      <c r="I147" s="41" t="s">
        <v>580</v>
      </c>
      <c r="J147" s="93">
        <v>46000893</v>
      </c>
      <c r="K147" s="42" t="s">
        <v>53</v>
      </c>
      <c r="L147" s="43" t="s">
        <v>54</v>
      </c>
      <c r="M147" s="99">
        <v>5227543.3099999996</v>
      </c>
      <c r="N147" s="359" t="s">
        <v>43</v>
      </c>
      <c r="O147" s="56">
        <v>41008</v>
      </c>
      <c r="P147" s="56">
        <v>41251</v>
      </c>
      <c r="Q147" s="63">
        <f t="shared" si="3"/>
        <v>244</v>
      </c>
      <c r="R147" s="30" t="s">
        <v>56</v>
      </c>
      <c r="S147" s="39" t="s">
        <v>46</v>
      </c>
      <c r="T147" s="40" t="s">
        <v>46</v>
      </c>
      <c r="U147" s="47" t="s">
        <v>581</v>
      </c>
      <c r="V147" s="48" t="s">
        <v>161</v>
      </c>
      <c r="W147" s="153"/>
      <c r="X147" s="83"/>
    </row>
    <row r="148" spans="2:24" s="35" customFormat="1" ht="34" x14ac:dyDescent="0.15">
      <c r="B148" s="36" t="s">
        <v>582</v>
      </c>
      <c r="C148" s="363"/>
      <c r="D148" s="354"/>
      <c r="E148" s="356"/>
      <c r="F148" s="367"/>
      <c r="G148" s="39" t="s">
        <v>43</v>
      </c>
      <c r="H148" s="358"/>
      <c r="I148" s="41" t="s">
        <v>583</v>
      </c>
      <c r="J148" s="93">
        <v>46000893</v>
      </c>
      <c r="K148" s="42" t="s">
        <v>53</v>
      </c>
      <c r="L148" s="43" t="s">
        <v>54</v>
      </c>
      <c r="M148" s="44">
        <v>675437.66</v>
      </c>
      <c r="N148" s="360"/>
      <c r="O148" s="56">
        <v>41220</v>
      </c>
      <c r="P148" s="56" t="s">
        <v>43</v>
      </c>
      <c r="Q148" s="45" t="s">
        <v>43</v>
      </c>
      <c r="R148" s="30" t="s">
        <v>56</v>
      </c>
      <c r="S148" s="39" t="s">
        <v>46</v>
      </c>
      <c r="T148" s="40" t="s">
        <v>46</v>
      </c>
      <c r="U148" s="47" t="s">
        <v>581</v>
      </c>
      <c r="V148" s="48" t="s">
        <v>161</v>
      </c>
      <c r="W148" s="49"/>
      <c r="X148" s="50"/>
    </row>
    <row r="149" spans="2:24" ht="318" customHeight="1" x14ac:dyDescent="0.15">
      <c r="B149" s="73">
        <v>40</v>
      </c>
      <c r="C149" s="351" t="s">
        <v>584</v>
      </c>
      <c r="D149" s="64" t="s">
        <v>46</v>
      </c>
      <c r="E149" s="38" t="s">
        <v>585</v>
      </c>
      <c r="F149" s="39" t="s">
        <v>70</v>
      </c>
      <c r="G149" s="75" t="s">
        <v>586</v>
      </c>
      <c r="H149" s="40" t="s">
        <v>587</v>
      </c>
      <c r="I149" s="42" t="s">
        <v>107</v>
      </c>
      <c r="J149" s="40" t="s">
        <v>588</v>
      </c>
      <c r="K149" s="42" t="s">
        <v>53</v>
      </c>
      <c r="L149" s="43" t="s">
        <v>38</v>
      </c>
      <c r="M149" s="87">
        <f>(4259340.17/1.18)/N4</f>
        <v>1042035.3099189729</v>
      </c>
      <c r="N149" s="44" t="s">
        <v>43</v>
      </c>
      <c r="O149" s="66">
        <v>41571</v>
      </c>
      <c r="P149" s="66">
        <v>41810</v>
      </c>
      <c r="Q149" s="63">
        <f t="shared" ref="Q149:Q155" si="4">P149-O149+1</f>
        <v>240</v>
      </c>
      <c r="R149" s="30" t="s">
        <v>56</v>
      </c>
      <c r="S149" s="39" t="s">
        <v>46</v>
      </c>
      <c r="T149" s="40" t="s">
        <v>46</v>
      </c>
      <c r="U149" s="47" t="s">
        <v>589</v>
      </c>
      <c r="V149" s="48" t="s">
        <v>161</v>
      </c>
      <c r="W149" s="49"/>
      <c r="X149" s="50"/>
    </row>
    <row r="150" spans="2:24" ht="367.5" customHeight="1" x14ac:dyDescent="0.15">
      <c r="B150" s="73">
        <v>41</v>
      </c>
      <c r="C150" s="352"/>
      <c r="D150" s="64"/>
      <c r="E150" s="38" t="s">
        <v>590</v>
      </c>
      <c r="F150" s="39" t="s">
        <v>70</v>
      </c>
      <c r="G150" s="39" t="s">
        <v>591</v>
      </c>
      <c r="H150" s="40" t="s">
        <v>587</v>
      </c>
      <c r="I150" s="42" t="s">
        <v>107</v>
      </c>
      <c r="J150" s="40" t="s">
        <v>592</v>
      </c>
      <c r="K150" s="42" t="s">
        <v>74</v>
      </c>
      <c r="L150" s="43" t="s">
        <v>43</v>
      </c>
      <c r="M150" s="77" t="s">
        <v>43</v>
      </c>
      <c r="N150" s="44" t="s">
        <v>43</v>
      </c>
      <c r="O150" s="66">
        <v>41386</v>
      </c>
      <c r="P150" s="66">
        <v>41456</v>
      </c>
      <c r="Q150" s="63">
        <f t="shared" si="4"/>
        <v>71</v>
      </c>
      <c r="R150" s="30" t="s">
        <v>56</v>
      </c>
      <c r="S150" s="39" t="s">
        <v>46</v>
      </c>
      <c r="T150" s="40" t="s">
        <v>46</v>
      </c>
      <c r="U150" s="47" t="s">
        <v>589</v>
      </c>
      <c r="V150" s="48" t="s">
        <v>161</v>
      </c>
      <c r="W150" s="49"/>
      <c r="X150" s="50"/>
    </row>
    <row r="151" spans="2:24" ht="119" x14ac:dyDescent="0.15">
      <c r="B151" s="73">
        <v>6</v>
      </c>
      <c r="C151" s="154" t="s">
        <v>593</v>
      </c>
      <c r="D151" s="64" t="s">
        <v>46</v>
      </c>
      <c r="E151" s="38" t="s">
        <v>594</v>
      </c>
      <c r="F151" s="74" t="s">
        <v>32</v>
      </c>
      <c r="G151" s="39" t="s">
        <v>595</v>
      </c>
      <c r="H151" s="40" t="s">
        <v>596</v>
      </c>
      <c r="I151" s="42" t="s">
        <v>597</v>
      </c>
      <c r="J151" s="40" t="s">
        <v>598</v>
      </c>
      <c r="K151" s="42" t="s">
        <v>53</v>
      </c>
      <c r="L151" s="43" t="s">
        <v>54</v>
      </c>
      <c r="M151" s="77">
        <v>314358.38</v>
      </c>
      <c r="N151" s="44" t="s">
        <v>43</v>
      </c>
      <c r="O151" s="56">
        <v>40623</v>
      </c>
      <c r="P151" s="56">
        <v>40668</v>
      </c>
      <c r="Q151" s="63">
        <f t="shared" si="4"/>
        <v>46</v>
      </c>
      <c r="R151" s="30" t="s">
        <v>56</v>
      </c>
      <c r="S151" s="39" t="s">
        <v>46</v>
      </c>
      <c r="T151" s="40" t="s">
        <v>46</v>
      </c>
      <c r="U151" s="47" t="s">
        <v>115</v>
      </c>
      <c r="V151" s="48" t="s">
        <v>116</v>
      </c>
      <c r="W151" s="49"/>
      <c r="X151" s="50"/>
    </row>
    <row r="152" spans="2:24" s="35" customFormat="1" ht="409.5" customHeight="1" x14ac:dyDescent="0.15">
      <c r="B152" s="36">
        <v>55</v>
      </c>
      <c r="C152" s="361" t="s">
        <v>599</v>
      </c>
      <c r="D152" s="64" t="s">
        <v>46</v>
      </c>
      <c r="E152" s="38" t="s">
        <v>600</v>
      </c>
      <c r="F152" s="39" t="s">
        <v>70</v>
      </c>
      <c r="G152" s="155" t="s">
        <v>601</v>
      </c>
      <c r="H152" s="40" t="s">
        <v>231</v>
      </c>
      <c r="I152" s="41" t="s">
        <v>107</v>
      </c>
      <c r="J152" s="40" t="s">
        <v>602</v>
      </c>
      <c r="K152" s="42" t="s">
        <v>43</v>
      </c>
      <c r="L152" s="43" t="s">
        <v>43</v>
      </c>
      <c r="M152" s="44" t="s">
        <v>43</v>
      </c>
      <c r="N152" s="44" t="s">
        <v>43</v>
      </c>
      <c r="O152" s="56">
        <v>40087</v>
      </c>
      <c r="P152" s="45">
        <v>41182</v>
      </c>
      <c r="Q152" s="63">
        <f t="shared" si="4"/>
        <v>1096</v>
      </c>
      <c r="R152" s="30" t="s">
        <v>56</v>
      </c>
      <c r="S152" s="39" t="s">
        <v>46</v>
      </c>
      <c r="T152" s="40" t="s">
        <v>46</v>
      </c>
      <c r="U152" s="47" t="s">
        <v>603</v>
      </c>
      <c r="V152" s="48" t="s">
        <v>604</v>
      </c>
      <c r="W152" s="49"/>
      <c r="X152" s="50"/>
    </row>
    <row r="153" spans="2:24" s="35" customFormat="1" ht="51" x14ac:dyDescent="0.15">
      <c r="B153" s="364">
        <v>56</v>
      </c>
      <c r="C153" s="362"/>
      <c r="D153" s="353" t="s">
        <v>46</v>
      </c>
      <c r="E153" s="355" t="s">
        <v>605</v>
      </c>
      <c r="F153" s="366" t="s">
        <v>90</v>
      </c>
      <c r="G153" s="156" t="s">
        <v>43</v>
      </c>
      <c r="H153" s="357" t="s">
        <v>92</v>
      </c>
      <c r="I153" s="42" t="s">
        <v>215</v>
      </c>
      <c r="J153" s="357" t="s">
        <v>606</v>
      </c>
      <c r="K153" s="42" t="s">
        <v>53</v>
      </c>
      <c r="L153" s="43" t="s">
        <v>38</v>
      </c>
      <c r="M153" s="62">
        <f>32060601.18/N4</f>
        <v>9255369.8556581978</v>
      </c>
      <c r="N153" s="44" t="s">
        <v>43</v>
      </c>
      <c r="O153" s="56">
        <v>40756</v>
      </c>
      <c r="P153" s="45">
        <v>41851</v>
      </c>
      <c r="Q153" s="63">
        <f t="shared" si="4"/>
        <v>1096</v>
      </c>
      <c r="R153" s="30" t="s">
        <v>56</v>
      </c>
      <c r="S153" s="39" t="s">
        <v>46</v>
      </c>
      <c r="T153" s="40" t="s">
        <v>46</v>
      </c>
      <c r="U153" s="47" t="s">
        <v>607</v>
      </c>
      <c r="V153" s="48" t="s">
        <v>608</v>
      </c>
      <c r="W153" s="48" t="s">
        <v>609</v>
      </c>
      <c r="X153" s="157" t="s">
        <v>610</v>
      </c>
    </row>
    <row r="154" spans="2:24" s="35" customFormat="1" ht="85" x14ac:dyDescent="0.15">
      <c r="B154" s="365"/>
      <c r="C154" s="362"/>
      <c r="D154" s="354"/>
      <c r="E154" s="356"/>
      <c r="F154" s="367"/>
      <c r="G154" s="31" t="s">
        <v>611</v>
      </c>
      <c r="H154" s="358"/>
      <c r="I154" s="42" t="s">
        <v>612</v>
      </c>
      <c r="J154" s="358"/>
      <c r="K154" s="42" t="s">
        <v>53</v>
      </c>
      <c r="L154" s="43" t="s">
        <v>43</v>
      </c>
      <c r="M154" s="44" t="s">
        <v>43</v>
      </c>
      <c r="N154" s="44" t="s">
        <v>43</v>
      </c>
      <c r="O154" s="56">
        <v>41091</v>
      </c>
      <c r="P154" s="45">
        <v>41274</v>
      </c>
      <c r="Q154" s="63">
        <f t="shared" si="4"/>
        <v>184</v>
      </c>
      <c r="R154" s="30" t="s">
        <v>56</v>
      </c>
      <c r="S154" s="39" t="s">
        <v>46</v>
      </c>
      <c r="T154" s="40" t="s">
        <v>46</v>
      </c>
      <c r="U154" s="47" t="s">
        <v>99</v>
      </c>
      <c r="V154" s="48" t="s">
        <v>100</v>
      </c>
      <c r="W154" s="49"/>
      <c r="X154" s="50"/>
    </row>
    <row r="155" spans="2:24" s="35" customFormat="1" ht="62.25" customHeight="1" x14ac:dyDescent="0.15">
      <c r="B155" s="158">
        <v>58</v>
      </c>
      <c r="C155" s="363"/>
      <c r="D155" s="64" t="s">
        <v>46</v>
      </c>
      <c r="E155" s="159" t="s">
        <v>613</v>
      </c>
      <c r="F155" s="108" t="s">
        <v>70</v>
      </c>
      <c r="G155" s="31" t="s">
        <v>614</v>
      </c>
      <c r="H155" s="142" t="s">
        <v>106</v>
      </c>
      <c r="I155" s="42" t="s">
        <v>107</v>
      </c>
      <c r="J155" s="160" t="s">
        <v>615</v>
      </c>
      <c r="K155" s="42" t="s">
        <v>53</v>
      </c>
      <c r="L155" s="43" t="s">
        <v>43</v>
      </c>
      <c r="M155" s="44" t="s">
        <v>43</v>
      </c>
      <c r="N155" s="44" t="s">
        <v>43</v>
      </c>
      <c r="O155" s="56">
        <v>40422</v>
      </c>
      <c r="P155" s="45">
        <v>40571</v>
      </c>
      <c r="Q155" s="63">
        <f t="shared" si="4"/>
        <v>150</v>
      </c>
      <c r="R155" s="30" t="s">
        <v>56</v>
      </c>
      <c r="S155" s="39" t="s">
        <v>46</v>
      </c>
      <c r="T155" s="40" t="s">
        <v>46</v>
      </c>
      <c r="U155" s="47" t="s">
        <v>616</v>
      </c>
      <c r="V155" s="48" t="s">
        <v>617</v>
      </c>
      <c r="W155" s="49"/>
      <c r="X155" s="157" t="s">
        <v>618</v>
      </c>
    </row>
    <row r="156" spans="2:24" s="161" customFormat="1" ht="51" x14ac:dyDescent="0.15">
      <c r="B156" s="162">
        <v>1</v>
      </c>
      <c r="C156" s="351" t="s">
        <v>619</v>
      </c>
      <c r="D156" s="68" t="s">
        <v>46</v>
      </c>
      <c r="E156" s="52" t="s">
        <v>620</v>
      </c>
      <c r="F156" s="163" t="s">
        <v>621</v>
      </c>
      <c r="G156" s="31" t="s">
        <v>622</v>
      </c>
      <c r="H156" s="40" t="s">
        <v>623</v>
      </c>
      <c r="I156" s="71" t="s">
        <v>107</v>
      </c>
      <c r="J156" s="32" t="s">
        <v>624</v>
      </c>
      <c r="K156" s="42" t="s">
        <v>43</v>
      </c>
      <c r="L156" s="43" t="s">
        <v>38</v>
      </c>
      <c r="M156" s="164">
        <f>361405.84/N4</f>
        <v>104331.93995381064</v>
      </c>
      <c r="N156" s="27" t="s">
        <v>43</v>
      </c>
      <c r="O156" s="56" t="s">
        <v>625</v>
      </c>
      <c r="P156" s="56" t="s">
        <v>626</v>
      </c>
      <c r="Q156" s="29" t="s">
        <v>43</v>
      </c>
      <c r="R156" s="30" t="s">
        <v>56</v>
      </c>
      <c r="S156" s="39" t="s">
        <v>46</v>
      </c>
      <c r="T156" s="40" t="s">
        <v>46</v>
      </c>
      <c r="U156" s="57" t="s">
        <v>627</v>
      </c>
      <c r="V156" s="58" t="s">
        <v>628</v>
      </c>
      <c r="W156" s="59"/>
      <c r="X156" s="60"/>
    </row>
    <row r="157" spans="2:24" s="161" customFormat="1" ht="201.75" customHeight="1" x14ac:dyDescent="0.15">
      <c r="B157" s="162">
        <v>48</v>
      </c>
      <c r="C157" s="352"/>
      <c r="D157" s="68" t="s">
        <v>46</v>
      </c>
      <c r="E157" s="52" t="s">
        <v>629</v>
      </c>
      <c r="F157" s="163" t="s">
        <v>630</v>
      </c>
      <c r="G157" s="129" t="s">
        <v>631</v>
      </c>
      <c r="H157" s="40" t="s">
        <v>623</v>
      </c>
      <c r="I157" s="71" t="s">
        <v>632</v>
      </c>
      <c r="J157" s="32" t="s">
        <v>633</v>
      </c>
      <c r="K157" s="42" t="s">
        <v>53</v>
      </c>
      <c r="L157" s="43" t="s">
        <v>54</v>
      </c>
      <c r="M157" s="130">
        <f>919373.74</f>
        <v>919373.74</v>
      </c>
      <c r="N157" s="130">
        <f>919373.74+155940.12</f>
        <v>1075313.8599999999</v>
      </c>
      <c r="O157" s="56">
        <v>40623</v>
      </c>
      <c r="P157" s="56">
        <v>40831</v>
      </c>
      <c r="Q157" s="63">
        <f t="shared" ref="Q157:Q166" si="5">P157-O157+1</f>
        <v>209</v>
      </c>
      <c r="R157" s="30" t="s">
        <v>56</v>
      </c>
      <c r="S157" s="39" t="s">
        <v>46</v>
      </c>
      <c r="T157" s="40" t="s">
        <v>46</v>
      </c>
      <c r="U157" s="57" t="s">
        <v>634</v>
      </c>
      <c r="V157" s="58" t="s">
        <v>635</v>
      </c>
      <c r="W157" s="59"/>
      <c r="X157" s="60"/>
    </row>
    <row r="158" spans="2:24" s="161" customFormat="1" ht="68" x14ac:dyDescent="0.15">
      <c r="B158" s="162">
        <v>49</v>
      </c>
      <c r="C158" s="352"/>
      <c r="D158" s="68" t="s">
        <v>46</v>
      </c>
      <c r="E158" s="52" t="s">
        <v>636</v>
      </c>
      <c r="F158" s="74" t="s">
        <v>562</v>
      </c>
      <c r="G158" s="31" t="s">
        <v>637</v>
      </c>
      <c r="H158" s="40" t="s">
        <v>623</v>
      </c>
      <c r="I158" s="71" t="s">
        <v>107</v>
      </c>
      <c r="J158" s="32" t="s">
        <v>638</v>
      </c>
      <c r="K158" s="42" t="s">
        <v>74</v>
      </c>
      <c r="L158" s="43" t="s">
        <v>54</v>
      </c>
      <c r="M158" s="130">
        <v>657881.64</v>
      </c>
      <c r="N158" s="27" t="s">
        <v>43</v>
      </c>
      <c r="O158" s="56">
        <v>41191</v>
      </c>
      <c r="P158" s="56">
        <v>41285</v>
      </c>
      <c r="Q158" s="63">
        <f t="shared" si="5"/>
        <v>95</v>
      </c>
      <c r="R158" s="30" t="s">
        <v>56</v>
      </c>
      <c r="S158" s="39" t="s">
        <v>46</v>
      </c>
      <c r="T158" s="40" t="s">
        <v>46</v>
      </c>
      <c r="U158" s="57" t="s">
        <v>639</v>
      </c>
      <c r="V158" s="58" t="s">
        <v>640</v>
      </c>
      <c r="W158" s="59"/>
      <c r="X158" s="60"/>
    </row>
    <row r="159" spans="2:24" s="161" customFormat="1" ht="111.75" customHeight="1" x14ac:dyDescent="0.15">
      <c r="B159" s="345">
        <v>50</v>
      </c>
      <c r="C159" s="352"/>
      <c r="D159" s="353" t="s">
        <v>46</v>
      </c>
      <c r="E159" s="355" t="s">
        <v>641</v>
      </c>
      <c r="F159" s="349" t="s">
        <v>562</v>
      </c>
      <c r="G159" s="165" t="s">
        <v>642</v>
      </c>
      <c r="H159" s="357" t="s">
        <v>623</v>
      </c>
      <c r="I159" s="71" t="s">
        <v>643</v>
      </c>
      <c r="J159" s="32" t="s">
        <v>644</v>
      </c>
      <c r="K159" s="42" t="s">
        <v>53</v>
      </c>
      <c r="L159" s="43" t="s">
        <v>54</v>
      </c>
      <c r="M159" s="130">
        <f>368207.62+61752.49</f>
        <v>429960.11</v>
      </c>
      <c r="N159" s="339">
        <f>SUM(M159:M160)</f>
        <v>458763.57</v>
      </c>
      <c r="O159" s="341">
        <v>42275</v>
      </c>
      <c r="P159" s="341">
        <v>42326</v>
      </c>
      <c r="Q159" s="343">
        <f t="shared" si="5"/>
        <v>52</v>
      </c>
      <c r="R159" s="30" t="s">
        <v>56</v>
      </c>
      <c r="S159" s="39" t="s">
        <v>46</v>
      </c>
      <c r="T159" s="40" t="s">
        <v>46</v>
      </c>
      <c r="U159" s="57" t="s">
        <v>639</v>
      </c>
      <c r="V159" s="58" t="s">
        <v>640</v>
      </c>
      <c r="W159" s="59"/>
      <c r="X159" s="60"/>
    </row>
    <row r="160" spans="2:24" s="161" customFormat="1" ht="49.5" customHeight="1" x14ac:dyDescent="0.15">
      <c r="B160" s="346"/>
      <c r="C160" s="352"/>
      <c r="D160" s="354"/>
      <c r="E160" s="356"/>
      <c r="F160" s="350"/>
      <c r="G160" s="166" t="s">
        <v>645</v>
      </c>
      <c r="H160" s="358"/>
      <c r="I160" s="71" t="s">
        <v>646</v>
      </c>
      <c r="J160" s="32" t="s">
        <v>647</v>
      </c>
      <c r="K160" s="42" t="s">
        <v>53</v>
      </c>
      <c r="L160" s="43" t="s">
        <v>54</v>
      </c>
      <c r="M160" s="130">
        <v>28803.46</v>
      </c>
      <c r="N160" s="340"/>
      <c r="O160" s="342"/>
      <c r="P160" s="342"/>
      <c r="Q160" s="344"/>
      <c r="R160" s="30" t="s">
        <v>56</v>
      </c>
      <c r="S160" s="39" t="s">
        <v>46</v>
      </c>
      <c r="T160" s="40" t="s">
        <v>46</v>
      </c>
      <c r="U160" s="57" t="s">
        <v>639</v>
      </c>
      <c r="V160" s="58" t="s">
        <v>640</v>
      </c>
      <c r="W160" s="59"/>
      <c r="X160" s="60"/>
    </row>
    <row r="161" spans="2:24" s="161" customFormat="1" ht="148.5" customHeight="1" x14ac:dyDescent="0.15">
      <c r="B161" s="167">
        <v>51</v>
      </c>
      <c r="C161" s="352"/>
      <c r="D161" s="68" t="s">
        <v>46</v>
      </c>
      <c r="E161" s="159" t="s">
        <v>648</v>
      </c>
      <c r="F161" s="74" t="s">
        <v>562</v>
      </c>
      <c r="G161" s="166" t="s">
        <v>649</v>
      </c>
      <c r="H161" s="40" t="s">
        <v>623</v>
      </c>
      <c r="I161" s="71" t="s">
        <v>650</v>
      </c>
      <c r="J161" s="32" t="s">
        <v>651</v>
      </c>
      <c r="K161" s="42" t="s">
        <v>53</v>
      </c>
      <c r="L161" s="43" t="s">
        <v>54</v>
      </c>
      <c r="M161" s="130">
        <v>236101.03</v>
      </c>
      <c r="N161" s="27" t="s">
        <v>43</v>
      </c>
      <c r="O161" s="56">
        <v>40539</v>
      </c>
      <c r="P161" s="56">
        <v>40609</v>
      </c>
      <c r="Q161" s="63">
        <f t="shared" si="5"/>
        <v>71</v>
      </c>
      <c r="R161" s="30" t="s">
        <v>56</v>
      </c>
      <c r="S161" s="39" t="s">
        <v>46</v>
      </c>
      <c r="T161" s="40" t="s">
        <v>46</v>
      </c>
      <c r="U161" s="57" t="s">
        <v>652</v>
      </c>
      <c r="V161" s="58" t="s">
        <v>653</v>
      </c>
      <c r="W161" s="59"/>
      <c r="X161" s="60"/>
    </row>
    <row r="162" spans="2:24" s="161" customFormat="1" ht="78" customHeight="1" x14ac:dyDescent="0.15">
      <c r="B162" s="345">
        <v>2</v>
      </c>
      <c r="C162" s="352"/>
      <c r="D162" s="68" t="s">
        <v>46</v>
      </c>
      <c r="E162" s="347" t="s">
        <v>654</v>
      </c>
      <c r="F162" s="349" t="s">
        <v>48</v>
      </c>
      <c r="G162" s="31" t="s">
        <v>655</v>
      </c>
      <c r="H162" s="40" t="s">
        <v>623</v>
      </c>
      <c r="I162" s="71" t="s">
        <v>656</v>
      </c>
      <c r="J162" s="69" t="s">
        <v>657</v>
      </c>
      <c r="K162" s="42" t="s">
        <v>74</v>
      </c>
      <c r="L162" s="43" t="s">
        <v>54</v>
      </c>
      <c r="M162" s="130">
        <v>92343.61</v>
      </c>
      <c r="N162" s="27" t="s">
        <v>43</v>
      </c>
      <c r="O162" s="56">
        <v>42275</v>
      </c>
      <c r="P162" s="56">
        <v>42335</v>
      </c>
      <c r="Q162" s="29">
        <f t="shared" si="5"/>
        <v>61</v>
      </c>
      <c r="R162" s="30" t="s">
        <v>56</v>
      </c>
      <c r="S162" s="39" t="s">
        <v>46</v>
      </c>
      <c r="T162" s="40" t="s">
        <v>46</v>
      </c>
      <c r="U162" s="57" t="s">
        <v>639</v>
      </c>
      <c r="V162" s="58" t="s">
        <v>640</v>
      </c>
      <c r="W162" s="59"/>
      <c r="X162" s="60"/>
    </row>
    <row r="163" spans="2:24" ht="51" x14ac:dyDescent="0.15">
      <c r="B163" s="346"/>
      <c r="C163" s="352"/>
      <c r="D163" s="126" t="s">
        <v>658</v>
      </c>
      <c r="E163" s="348"/>
      <c r="F163" s="350"/>
      <c r="G163" s="127" t="s">
        <v>659</v>
      </c>
      <c r="H163" s="40" t="s">
        <v>623</v>
      </c>
      <c r="I163" s="71" t="s">
        <v>660</v>
      </c>
      <c r="J163" s="40" t="s">
        <v>661</v>
      </c>
      <c r="K163" s="42" t="s">
        <v>53</v>
      </c>
      <c r="L163" s="43" t="s">
        <v>54</v>
      </c>
      <c r="M163" s="77">
        <v>305191.65000000002</v>
      </c>
      <c r="N163" s="27" t="s">
        <v>43</v>
      </c>
      <c r="O163" s="56">
        <v>42269</v>
      </c>
      <c r="P163" s="56">
        <f>O163+89</f>
        <v>42358</v>
      </c>
      <c r="Q163" s="63">
        <f t="shared" si="5"/>
        <v>90</v>
      </c>
      <c r="R163" s="30" t="s">
        <v>56</v>
      </c>
      <c r="S163" s="39" t="s">
        <v>46</v>
      </c>
      <c r="T163" s="40" t="s">
        <v>46</v>
      </c>
      <c r="U163" s="47" t="s">
        <v>43</v>
      </c>
      <c r="V163" s="48" t="s">
        <v>43</v>
      </c>
      <c r="W163" s="49"/>
      <c r="X163" s="50"/>
    </row>
    <row r="164" spans="2:24" ht="238" x14ac:dyDescent="0.15">
      <c r="B164" s="73">
        <v>52</v>
      </c>
      <c r="C164" s="352"/>
      <c r="D164" s="64" t="s">
        <v>46</v>
      </c>
      <c r="E164" s="168" t="s">
        <v>662</v>
      </c>
      <c r="F164" s="74" t="s">
        <v>32</v>
      </c>
      <c r="G164" s="166" t="s">
        <v>663</v>
      </c>
      <c r="H164" s="40" t="s">
        <v>623</v>
      </c>
      <c r="I164" s="42" t="s">
        <v>215</v>
      </c>
      <c r="J164" s="40" t="s">
        <v>664</v>
      </c>
      <c r="K164" s="42" t="s">
        <v>53</v>
      </c>
      <c r="L164" s="43" t="s">
        <v>54</v>
      </c>
      <c r="M164" s="77">
        <v>292386.81</v>
      </c>
      <c r="N164" s="77">
        <v>292386.81</v>
      </c>
      <c r="O164" s="45">
        <v>40063</v>
      </c>
      <c r="P164" s="45">
        <v>40128</v>
      </c>
      <c r="Q164" s="63">
        <f t="shared" si="5"/>
        <v>66</v>
      </c>
      <c r="R164" s="46" t="s">
        <v>56</v>
      </c>
      <c r="S164" s="39" t="s">
        <v>46</v>
      </c>
      <c r="T164" s="40" t="s">
        <v>46</v>
      </c>
      <c r="U164" s="47" t="s">
        <v>665</v>
      </c>
      <c r="V164" s="48" t="s">
        <v>666</v>
      </c>
      <c r="W164" s="49"/>
      <c r="X164" s="50"/>
    </row>
    <row r="165" spans="2:24" ht="354.75" customHeight="1" x14ac:dyDescent="0.15">
      <c r="B165" s="73">
        <v>53</v>
      </c>
      <c r="C165" s="352"/>
      <c r="D165" s="68"/>
      <c r="E165" s="169" t="s">
        <v>667</v>
      </c>
      <c r="F165" s="128" t="s">
        <v>562</v>
      </c>
      <c r="G165" s="170" t="s">
        <v>668</v>
      </c>
      <c r="H165" s="40" t="s">
        <v>623</v>
      </c>
      <c r="I165" s="42" t="s">
        <v>215</v>
      </c>
      <c r="J165" s="32" t="s">
        <v>669</v>
      </c>
      <c r="K165" s="42" t="s">
        <v>74</v>
      </c>
      <c r="L165" s="43" t="s">
        <v>54</v>
      </c>
      <c r="M165" s="130">
        <v>107378.76</v>
      </c>
      <c r="N165" s="130">
        <v>107378.76</v>
      </c>
      <c r="O165" s="56">
        <v>40877</v>
      </c>
      <c r="P165" s="56">
        <v>40906</v>
      </c>
      <c r="Q165" s="29">
        <f t="shared" si="5"/>
        <v>30</v>
      </c>
      <c r="R165" s="46" t="s">
        <v>56</v>
      </c>
      <c r="S165" s="39" t="s">
        <v>46</v>
      </c>
      <c r="T165" s="40" t="s">
        <v>46</v>
      </c>
      <c r="U165" s="123" t="s">
        <v>670</v>
      </c>
      <c r="V165" s="48" t="s">
        <v>671</v>
      </c>
      <c r="W165" s="49"/>
      <c r="X165" s="50"/>
    </row>
    <row r="166" spans="2:24" ht="402.75" customHeight="1" x14ac:dyDescent="0.15">
      <c r="B166" s="73">
        <v>54</v>
      </c>
      <c r="C166" s="352"/>
      <c r="D166" s="64"/>
      <c r="E166" s="171" t="s">
        <v>672</v>
      </c>
      <c r="F166" s="74" t="s">
        <v>32</v>
      </c>
      <c r="G166" s="75" t="s">
        <v>673</v>
      </c>
      <c r="H166" s="40" t="s">
        <v>623</v>
      </c>
      <c r="I166" s="42" t="s">
        <v>215</v>
      </c>
      <c r="J166" s="40" t="s">
        <v>674</v>
      </c>
      <c r="K166" s="42" t="s">
        <v>74</v>
      </c>
      <c r="L166" s="43" t="s">
        <v>54</v>
      </c>
      <c r="M166" s="77">
        <v>677311.93</v>
      </c>
      <c r="N166" s="77">
        <v>677311.93</v>
      </c>
      <c r="O166" s="56">
        <v>41191</v>
      </c>
      <c r="P166" s="56">
        <v>41260</v>
      </c>
      <c r="Q166" s="63">
        <f t="shared" si="5"/>
        <v>70</v>
      </c>
      <c r="R166" s="46" t="s">
        <v>56</v>
      </c>
      <c r="S166" s="39" t="s">
        <v>46</v>
      </c>
      <c r="T166" s="40" t="s">
        <v>46</v>
      </c>
      <c r="U166" s="57" t="s">
        <v>639</v>
      </c>
      <c r="V166" s="58" t="s">
        <v>640</v>
      </c>
      <c r="W166" s="59"/>
      <c r="X166" s="60"/>
    </row>
    <row r="167" spans="2:24" s="161" customFormat="1" ht="87" customHeight="1" x14ac:dyDescent="0.15">
      <c r="B167" s="73">
        <v>3</v>
      </c>
      <c r="C167" s="352"/>
      <c r="D167" s="64" t="s">
        <v>46</v>
      </c>
      <c r="E167" s="38" t="s">
        <v>675</v>
      </c>
      <c r="F167" s="163" t="s">
        <v>32</v>
      </c>
      <c r="G167" s="39" t="s">
        <v>676</v>
      </c>
      <c r="H167" s="40" t="s">
        <v>623</v>
      </c>
      <c r="I167" s="42" t="s">
        <v>677</v>
      </c>
      <c r="J167" s="40" t="s">
        <v>678</v>
      </c>
      <c r="K167" s="42" t="s">
        <v>43</v>
      </c>
      <c r="L167" s="43" t="s">
        <v>38</v>
      </c>
      <c r="M167" s="87">
        <f>228747.82/N4</f>
        <v>66035.744803695154</v>
      </c>
      <c r="N167" s="87">
        <f>228747.82/N4</f>
        <v>66035.744803695154</v>
      </c>
      <c r="O167" s="56" t="s">
        <v>679</v>
      </c>
      <c r="P167" s="56" t="s">
        <v>626</v>
      </c>
      <c r="Q167" s="63" t="s">
        <v>43</v>
      </c>
      <c r="R167" s="30" t="s">
        <v>56</v>
      </c>
      <c r="S167" s="39" t="s">
        <v>46</v>
      </c>
      <c r="T167" s="40" t="s">
        <v>46</v>
      </c>
      <c r="U167" s="47" t="s">
        <v>680</v>
      </c>
      <c r="V167" s="48" t="s">
        <v>681</v>
      </c>
      <c r="W167" s="49"/>
      <c r="X167" s="50"/>
    </row>
    <row r="168" spans="2:24" ht="45" customHeight="1" x14ac:dyDescent="0.15">
      <c r="B168" s="73">
        <v>4</v>
      </c>
      <c r="C168" s="352"/>
      <c r="D168" s="64" t="s">
        <v>46</v>
      </c>
      <c r="E168" s="171" t="s">
        <v>682</v>
      </c>
      <c r="F168" s="74" t="s">
        <v>32</v>
      </c>
      <c r="G168" s="39" t="s">
        <v>683</v>
      </c>
      <c r="H168" s="40" t="s">
        <v>623</v>
      </c>
      <c r="I168" s="42" t="s">
        <v>684</v>
      </c>
      <c r="J168" s="93" t="s">
        <v>685</v>
      </c>
      <c r="K168" s="42" t="s">
        <v>43</v>
      </c>
      <c r="L168" s="43" t="s">
        <v>38</v>
      </c>
      <c r="M168" s="87">
        <f>398291.65/N4</f>
        <v>114980.26847575059</v>
      </c>
      <c r="N168" s="87">
        <f>398291.65/N4</f>
        <v>114980.26847575059</v>
      </c>
      <c r="O168" s="56" t="s">
        <v>679</v>
      </c>
      <c r="P168" s="56" t="s">
        <v>43</v>
      </c>
      <c r="Q168" s="63" t="s">
        <v>43</v>
      </c>
      <c r="R168" s="30" t="s">
        <v>56</v>
      </c>
      <c r="S168" s="39" t="s">
        <v>46</v>
      </c>
      <c r="T168" s="40" t="s">
        <v>46</v>
      </c>
      <c r="U168" s="47" t="s">
        <v>686</v>
      </c>
      <c r="V168" s="48" t="s">
        <v>681</v>
      </c>
      <c r="W168" s="131" t="s">
        <v>687</v>
      </c>
      <c r="X168" s="82" t="s">
        <v>688</v>
      </c>
    </row>
    <row r="169" spans="2:24" ht="129.75" customHeight="1" x14ac:dyDescent="0.15">
      <c r="B169" s="186">
        <v>45</v>
      </c>
      <c r="C169" s="187" t="s">
        <v>689</v>
      </c>
      <c r="D169" s="187" t="s">
        <v>690</v>
      </c>
      <c r="E169" s="188" t="s">
        <v>691</v>
      </c>
      <c r="F169" s="189" t="s">
        <v>692</v>
      </c>
      <c r="G169" s="190" t="s">
        <v>693</v>
      </c>
      <c r="H169" s="191" t="s">
        <v>694</v>
      </c>
      <c r="I169" s="192" t="s">
        <v>695</v>
      </c>
      <c r="J169" s="191" t="s">
        <v>43</v>
      </c>
      <c r="K169" s="193" t="s">
        <v>37</v>
      </c>
      <c r="L169" s="194" t="s">
        <v>38</v>
      </c>
      <c r="M169" s="195">
        <f>4390395.79/N4</f>
        <v>1267435.2742494226</v>
      </c>
      <c r="N169" s="196" t="s">
        <v>39</v>
      </c>
      <c r="O169" s="197">
        <v>44235</v>
      </c>
      <c r="P169" s="197">
        <f>+O169+Q169</f>
        <v>44415</v>
      </c>
      <c r="Q169" s="198">
        <v>180</v>
      </c>
      <c r="R169" s="199" t="s">
        <v>56</v>
      </c>
      <c r="S169" s="200" t="s">
        <v>46</v>
      </c>
      <c r="T169" s="191" t="s">
        <v>46</v>
      </c>
      <c r="U169" s="201" t="s">
        <v>696</v>
      </c>
      <c r="V169" s="202" t="s">
        <v>697</v>
      </c>
      <c r="W169" s="202"/>
      <c r="X169" s="203" t="s">
        <v>698</v>
      </c>
    </row>
    <row r="170" spans="2:24" ht="51" hidden="1" x14ac:dyDescent="0.15">
      <c r="B170" s="186">
        <v>46</v>
      </c>
      <c r="C170" s="187" t="s">
        <v>699</v>
      </c>
      <c r="D170" s="204" t="s">
        <v>46</v>
      </c>
      <c r="E170" s="188" t="s">
        <v>700</v>
      </c>
      <c r="F170" s="200" t="s">
        <v>130</v>
      </c>
      <c r="G170" s="200" t="s">
        <v>43</v>
      </c>
      <c r="H170" s="205" t="s">
        <v>694</v>
      </c>
      <c r="I170" s="193" t="s">
        <v>422</v>
      </c>
      <c r="J170" s="191" t="s">
        <v>701</v>
      </c>
      <c r="K170" s="193" t="s">
        <v>702</v>
      </c>
      <c r="L170" s="194" t="s">
        <v>38</v>
      </c>
      <c r="M170" s="206" t="s">
        <v>43</v>
      </c>
      <c r="N170" s="206" t="s">
        <v>43</v>
      </c>
      <c r="O170" s="197">
        <v>42614</v>
      </c>
      <c r="P170" s="197">
        <v>43281</v>
      </c>
      <c r="Q170" s="198">
        <f>P170-O170+1</f>
        <v>668</v>
      </c>
      <c r="R170" s="207" t="s">
        <v>56</v>
      </c>
      <c r="S170" s="200" t="s">
        <v>46</v>
      </c>
      <c r="T170" s="191" t="s">
        <v>46</v>
      </c>
      <c r="U170" s="201" t="s">
        <v>703</v>
      </c>
      <c r="V170" s="202" t="s">
        <v>116</v>
      </c>
      <c r="W170" s="202"/>
      <c r="X170" s="203"/>
    </row>
    <row r="171" spans="2:24" ht="221" x14ac:dyDescent="0.15">
      <c r="B171" s="336">
        <v>85</v>
      </c>
      <c r="C171" s="322" t="s">
        <v>704</v>
      </c>
      <c r="D171" s="325" t="s">
        <v>46</v>
      </c>
      <c r="E171" s="327" t="s">
        <v>705</v>
      </c>
      <c r="F171" s="330" t="s">
        <v>229</v>
      </c>
      <c r="G171" s="208" t="s">
        <v>706</v>
      </c>
      <c r="H171" s="209" t="s">
        <v>623</v>
      </c>
      <c r="I171" s="192" t="s">
        <v>107</v>
      </c>
      <c r="J171" s="210" t="s">
        <v>707</v>
      </c>
      <c r="K171" s="193" t="s">
        <v>74</v>
      </c>
      <c r="L171" s="194" t="s">
        <v>38</v>
      </c>
      <c r="M171" s="206">
        <f>6155022.76/N4</f>
        <v>1776854.1454965358</v>
      </c>
      <c r="N171" s="333" t="s">
        <v>39</v>
      </c>
      <c r="O171" s="197">
        <v>43780</v>
      </c>
      <c r="P171" s="197" t="s">
        <v>708</v>
      </c>
      <c r="Q171" s="310">
        <f>P171-O171+1</f>
        <v>321</v>
      </c>
      <c r="R171" s="312" t="s">
        <v>56</v>
      </c>
      <c r="S171" s="314" t="s">
        <v>46</v>
      </c>
      <c r="T171" s="316" t="s">
        <v>46</v>
      </c>
      <c r="U171" s="318" t="s">
        <v>709</v>
      </c>
      <c r="V171" s="320" t="s">
        <v>710</v>
      </c>
      <c r="W171" s="306" t="s">
        <v>711</v>
      </c>
      <c r="X171" s="308" t="s">
        <v>712</v>
      </c>
    </row>
    <row r="172" spans="2:24" ht="68" x14ac:dyDescent="0.15">
      <c r="B172" s="337"/>
      <c r="C172" s="323"/>
      <c r="D172" s="326"/>
      <c r="E172" s="328"/>
      <c r="F172" s="331"/>
      <c r="G172" s="200" t="s">
        <v>713</v>
      </c>
      <c r="H172" s="209" t="s">
        <v>623</v>
      </c>
      <c r="I172" s="193" t="s">
        <v>422</v>
      </c>
      <c r="J172" s="191" t="s">
        <v>43</v>
      </c>
      <c r="K172" s="193" t="s">
        <v>74</v>
      </c>
      <c r="L172" s="194" t="s">
        <v>38</v>
      </c>
      <c r="M172" s="206">
        <f>2577230.2064885/N4</f>
        <v>744004.10118028289</v>
      </c>
      <c r="N172" s="334"/>
      <c r="O172" s="197">
        <v>43845</v>
      </c>
      <c r="P172" s="197">
        <v>43919</v>
      </c>
      <c r="Q172" s="311"/>
      <c r="R172" s="313"/>
      <c r="S172" s="315"/>
      <c r="T172" s="317"/>
      <c r="U172" s="319"/>
      <c r="V172" s="321"/>
      <c r="W172" s="307"/>
      <c r="X172" s="309"/>
    </row>
    <row r="173" spans="2:24" ht="72.75" customHeight="1" x14ac:dyDescent="0.15">
      <c r="B173" s="337"/>
      <c r="C173" s="323"/>
      <c r="D173" s="214"/>
      <c r="E173" s="328"/>
      <c r="F173" s="331"/>
      <c r="G173" s="200" t="s">
        <v>713</v>
      </c>
      <c r="H173" s="209" t="s">
        <v>623</v>
      </c>
      <c r="I173" s="193" t="s">
        <v>423</v>
      </c>
      <c r="J173" s="191"/>
      <c r="K173" s="193" t="s">
        <v>74</v>
      </c>
      <c r="L173" s="194" t="s">
        <v>38</v>
      </c>
      <c r="M173" s="215" t="s">
        <v>46</v>
      </c>
      <c r="N173" s="334"/>
      <c r="O173" s="197">
        <v>44097</v>
      </c>
      <c r="P173" s="216">
        <v>44135</v>
      </c>
      <c r="Q173" s="217"/>
      <c r="R173" s="218"/>
      <c r="S173" s="219"/>
      <c r="T173" s="220"/>
      <c r="U173" s="221"/>
      <c r="V173" s="222"/>
      <c r="W173" s="223"/>
      <c r="X173" s="224"/>
    </row>
    <row r="174" spans="2:24" ht="30.75" customHeight="1" x14ac:dyDescent="0.15">
      <c r="B174" s="337"/>
      <c r="C174" s="323"/>
      <c r="D174" s="214"/>
      <c r="E174" s="328"/>
      <c r="F174" s="331"/>
      <c r="G174" s="200"/>
      <c r="H174" s="209" t="s">
        <v>623</v>
      </c>
      <c r="I174" s="193" t="s">
        <v>714</v>
      </c>
      <c r="J174" s="191"/>
      <c r="K174" s="193" t="s">
        <v>74</v>
      </c>
      <c r="L174" s="194" t="s">
        <v>38</v>
      </c>
      <c r="M174" s="195">
        <f>295868.85/N4</f>
        <v>85412.48556581985</v>
      </c>
      <c r="N174" s="334"/>
      <c r="O174" s="197">
        <v>44105</v>
      </c>
      <c r="P174" s="216">
        <v>43858</v>
      </c>
      <c r="Q174" s="217"/>
      <c r="R174" s="218"/>
      <c r="S174" s="219"/>
      <c r="T174" s="220"/>
      <c r="U174" s="221"/>
      <c r="V174" s="222"/>
      <c r="W174" s="223"/>
      <c r="X174" s="224"/>
    </row>
    <row r="175" spans="2:24" ht="30.75" customHeight="1" x14ac:dyDescent="0.15">
      <c r="B175" s="337"/>
      <c r="C175" s="323"/>
      <c r="D175" s="214"/>
      <c r="E175" s="328"/>
      <c r="F175" s="331"/>
      <c r="G175" s="200"/>
      <c r="H175" s="209" t="s">
        <v>623</v>
      </c>
      <c r="I175" s="193" t="s">
        <v>715</v>
      </c>
      <c r="J175" s="191"/>
      <c r="K175" s="193" t="s">
        <v>74</v>
      </c>
      <c r="L175" s="194" t="s">
        <v>38</v>
      </c>
      <c r="M175" s="215" t="s">
        <v>46</v>
      </c>
      <c r="N175" s="334"/>
      <c r="O175" s="197">
        <v>44225</v>
      </c>
      <c r="P175" s="197">
        <v>44254</v>
      </c>
      <c r="Q175" s="217"/>
      <c r="R175" s="218"/>
      <c r="S175" s="219"/>
      <c r="T175" s="220"/>
      <c r="U175" s="221"/>
      <c r="V175" s="222"/>
      <c r="W175" s="223"/>
      <c r="X175" s="224"/>
    </row>
    <row r="176" spans="2:24" ht="30.75" customHeight="1" x14ac:dyDescent="0.15">
      <c r="B176" s="338"/>
      <c r="C176" s="324"/>
      <c r="D176" s="214"/>
      <c r="E176" s="329"/>
      <c r="F176" s="332"/>
      <c r="G176" s="219" t="s">
        <v>716</v>
      </c>
      <c r="H176" s="209" t="s">
        <v>623</v>
      </c>
      <c r="I176" s="193" t="s">
        <v>717</v>
      </c>
      <c r="J176" s="191"/>
      <c r="K176" s="193" t="s">
        <v>74</v>
      </c>
      <c r="L176" s="194" t="s">
        <v>38</v>
      </c>
      <c r="M176" s="195">
        <f>2433824.02/N4</f>
        <v>702605.08660508087</v>
      </c>
      <c r="N176" s="335"/>
      <c r="O176" s="197">
        <v>44256</v>
      </c>
      <c r="P176" s="197">
        <f>60+O176</f>
        <v>44316</v>
      </c>
      <c r="Q176" s="217"/>
      <c r="R176" s="218"/>
      <c r="S176" s="219"/>
      <c r="T176" s="220"/>
      <c r="U176" s="221"/>
      <c r="V176" s="222"/>
      <c r="W176" s="223"/>
      <c r="X176" s="224"/>
    </row>
    <row r="177" spans="2:24" ht="136" x14ac:dyDescent="0.15">
      <c r="B177" s="186">
        <v>86</v>
      </c>
      <c r="C177" s="187" t="s">
        <v>718</v>
      </c>
      <c r="D177" s="204" t="s">
        <v>46</v>
      </c>
      <c r="E177" s="188" t="s">
        <v>719</v>
      </c>
      <c r="F177" s="200" t="s">
        <v>229</v>
      </c>
      <c r="G177" s="200" t="s">
        <v>720</v>
      </c>
      <c r="H177" s="205" t="s">
        <v>623</v>
      </c>
      <c r="I177" s="193" t="s">
        <v>107</v>
      </c>
      <c r="J177" s="191" t="s">
        <v>43</v>
      </c>
      <c r="K177" s="193" t="s">
        <v>721</v>
      </c>
      <c r="L177" s="194" t="s">
        <v>38</v>
      </c>
      <c r="M177" s="206">
        <f>5794822.17/N4</f>
        <v>1672870.1414549653</v>
      </c>
      <c r="N177" s="206" t="s">
        <v>39</v>
      </c>
      <c r="O177" s="197">
        <v>44237</v>
      </c>
      <c r="P177" s="197">
        <v>44357</v>
      </c>
      <c r="Q177" s="211">
        <f>P177-O177</f>
        <v>120</v>
      </c>
      <c r="R177" s="207" t="s">
        <v>56</v>
      </c>
      <c r="S177" s="200" t="s">
        <v>46</v>
      </c>
      <c r="T177" s="191" t="s">
        <v>46</v>
      </c>
      <c r="U177" s="225" t="s">
        <v>722</v>
      </c>
      <c r="V177" s="213" t="s">
        <v>723</v>
      </c>
      <c r="W177" s="194" t="s">
        <v>724</v>
      </c>
      <c r="X177" s="226" t="s">
        <v>725</v>
      </c>
    </row>
    <row r="178" spans="2:24" ht="306" x14ac:dyDescent="0.15">
      <c r="B178" s="227">
        <v>92</v>
      </c>
      <c r="C178" s="228" t="s">
        <v>726</v>
      </c>
      <c r="D178" s="229"/>
      <c r="E178" s="230" t="s">
        <v>728</v>
      </c>
      <c r="F178" s="208" t="s">
        <v>729</v>
      </c>
      <c r="G178" s="231" t="s">
        <v>730</v>
      </c>
      <c r="H178" s="191" t="s">
        <v>564</v>
      </c>
      <c r="I178" s="212" t="s">
        <v>107</v>
      </c>
      <c r="J178" s="232" t="s">
        <v>731</v>
      </c>
      <c r="K178" s="193" t="s">
        <v>53</v>
      </c>
      <c r="L178" s="194" t="s">
        <v>54</v>
      </c>
      <c r="M178" s="196" t="s">
        <v>735</v>
      </c>
      <c r="N178" s="196" t="s">
        <v>39</v>
      </c>
      <c r="O178" s="216">
        <v>44353</v>
      </c>
      <c r="P178" s="216">
        <v>44491</v>
      </c>
      <c r="Q178" s="211">
        <f t="shared" ref="Q178:Q179" si="6">P178-O178</f>
        <v>138</v>
      </c>
      <c r="R178" s="207" t="s">
        <v>56</v>
      </c>
      <c r="S178" s="200" t="s">
        <v>46</v>
      </c>
      <c r="T178" s="191" t="s">
        <v>46</v>
      </c>
      <c r="U178" s="233" t="s">
        <v>736</v>
      </c>
      <c r="V178" s="233" t="s">
        <v>737</v>
      </c>
      <c r="W178" s="234" t="s">
        <v>738</v>
      </c>
      <c r="X178" s="235">
        <v>989454878</v>
      </c>
    </row>
    <row r="179" spans="2:24" ht="34" x14ac:dyDescent="0.15">
      <c r="B179" s="227">
        <v>93</v>
      </c>
      <c r="C179" s="228" t="s">
        <v>727</v>
      </c>
      <c r="D179" s="229"/>
      <c r="E179" s="230" t="s">
        <v>732</v>
      </c>
      <c r="F179" s="208" t="s">
        <v>729</v>
      </c>
      <c r="G179" s="208"/>
      <c r="H179" s="233" t="s">
        <v>733</v>
      </c>
      <c r="I179" s="212" t="s">
        <v>107</v>
      </c>
      <c r="J179" s="208" t="s">
        <v>734</v>
      </c>
      <c r="K179" s="193" t="s">
        <v>53</v>
      </c>
      <c r="L179" s="194" t="s">
        <v>54</v>
      </c>
      <c r="M179" s="196">
        <v>779221.81</v>
      </c>
      <c r="N179" s="196" t="s">
        <v>39</v>
      </c>
      <c r="O179" s="216">
        <v>44459</v>
      </c>
      <c r="P179" s="216"/>
      <c r="Q179" s="211">
        <f t="shared" si="6"/>
        <v>-44459</v>
      </c>
      <c r="R179" s="207" t="s">
        <v>56</v>
      </c>
      <c r="S179" s="200" t="s">
        <v>46</v>
      </c>
      <c r="T179" s="191" t="s">
        <v>46</v>
      </c>
      <c r="U179" s="233" t="s">
        <v>740</v>
      </c>
      <c r="V179" s="233" t="s">
        <v>739</v>
      </c>
      <c r="W179" s="234" t="s">
        <v>741</v>
      </c>
      <c r="X179" s="233">
        <v>994619180</v>
      </c>
    </row>
    <row r="180" spans="2:24" ht="16" x14ac:dyDescent="0.15">
      <c r="B180" s="184"/>
      <c r="C180" s="22"/>
      <c r="D180" s="68"/>
      <c r="E180" s="52"/>
      <c r="F180" s="31"/>
      <c r="G180" s="31"/>
      <c r="H180" s="147"/>
      <c r="I180" s="23"/>
      <c r="J180" s="31"/>
      <c r="K180" s="23"/>
      <c r="L180" s="23"/>
      <c r="M180" s="55"/>
      <c r="N180" s="55"/>
      <c r="O180" s="65"/>
      <c r="P180" s="65"/>
      <c r="Q180" s="185"/>
      <c r="R180" s="31"/>
      <c r="S180" s="31"/>
      <c r="T180" s="31"/>
      <c r="U180" s="147"/>
      <c r="V180" s="147"/>
      <c r="W180" s="23"/>
      <c r="X180" s="147"/>
    </row>
    <row r="181" spans="2:24" ht="16" x14ac:dyDescent="0.15">
      <c r="B181" s="184"/>
      <c r="C181" s="22"/>
      <c r="D181" s="68"/>
      <c r="E181" s="52"/>
      <c r="F181" s="31"/>
      <c r="G181" s="31"/>
      <c r="H181" s="147"/>
      <c r="I181" s="23"/>
      <c r="J181" s="31"/>
      <c r="K181" s="23"/>
      <c r="L181" s="23"/>
      <c r="M181" s="55"/>
      <c r="N181" s="55"/>
      <c r="O181" s="65"/>
      <c r="P181" s="65"/>
      <c r="Q181" s="185"/>
      <c r="R181" s="31"/>
      <c r="S181" s="31"/>
      <c r="T181" s="31"/>
      <c r="U181" s="147"/>
      <c r="V181" s="147"/>
      <c r="W181" s="23"/>
      <c r="X181" s="147"/>
    </row>
    <row r="182" spans="2:24" ht="16" x14ac:dyDescent="0.15">
      <c r="B182" s="184"/>
      <c r="C182" s="22"/>
      <c r="D182" s="68"/>
      <c r="E182" s="52"/>
      <c r="F182" s="31"/>
      <c r="G182" s="31"/>
      <c r="H182" s="147"/>
      <c r="I182" s="23"/>
      <c r="J182" s="31"/>
      <c r="K182" s="23"/>
      <c r="L182" s="23"/>
      <c r="M182" s="55"/>
      <c r="N182" s="55"/>
      <c r="O182" s="65"/>
      <c r="P182" s="65"/>
      <c r="Q182" s="185"/>
      <c r="R182" s="31"/>
      <c r="S182" s="31"/>
      <c r="T182" s="31"/>
      <c r="U182" s="147"/>
      <c r="V182" s="147"/>
      <c r="W182" s="23"/>
      <c r="X182" s="147"/>
    </row>
    <row r="183" spans="2:24" ht="16" x14ac:dyDescent="0.15">
      <c r="B183" s="184"/>
      <c r="C183" s="22"/>
      <c r="D183" s="68"/>
      <c r="E183" s="52"/>
      <c r="F183" s="31"/>
      <c r="G183" s="31"/>
      <c r="H183" s="147"/>
      <c r="I183" s="23"/>
      <c r="J183" s="31"/>
      <c r="K183" s="23"/>
      <c r="L183" s="23"/>
      <c r="M183" s="55"/>
      <c r="N183" s="55"/>
      <c r="O183" s="65"/>
      <c r="P183" s="65"/>
      <c r="Q183" s="185"/>
      <c r="R183" s="31"/>
      <c r="S183" s="31"/>
      <c r="T183" s="31"/>
      <c r="U183" s="147"/>
      <c r="V183" s="147"/>
      <c r="W183" s="23"/>
      <c r="X183" s="147"/>
    </row>
    <row r="184" spans="2:24" ht="16" x14ac:dyDescent="0.15">
      <c r="B184" s="184"/>
      <c r="C184" s="22"/>
      <c r="D184" s="68"/>
      <c r="E184" s="52"/>
      <c r="F184" s="31"/>
      <c r="G184" s="31"/>
      <c r="H184" s="147"/>
      <c r="I184" s="23"/>
      <c r="J184" s="31"/>
      <c r="K184" s="23"/>
      <c r="L184" s="23"/>
      <c r="M184" s="55"/>
      <c r="N184" s="55"/>
      <c r="O184" s="65"/>
      <c r="P184" s="65"/>
      <c r="Q184" s="185"/>
      <c r="R184" s="31"/>
      <c r="S184" s="31"/>
      <c r="T184" s="31"/>
      <c r="U184" s="147"/>
      <c r="V184" s="147"/>
      <c r="W184" s="23"/>
      <c r="X184" s="147"/>
    </row>
    <row r="185" spans="2:24" ht="16" x14ac:dyDescent="0.15">
      <c r="B185" s="184"/>
      <c r="C185" s="22"/>
      <c r="D185" s="68"/>
      <c r="E185" s="52"/>
      <c r="F185" s="31"/>
      <c r="G185" s="31"/>
      <c r="H185" s="147"/>
      <c r="I185" s="23"/>
      <c r="J185" s="31"/>
      <c r="K185" s="23"/>
      <c r="L185" s="23"/>
      <c r="M185" s="55"/>
      <c r="N185" s="55"/>
      <c r="O185" s="65"/>
      <c r="P185" s="65"/>
      <c r="Q185" s="185"/>
      <c r="R185" s="31"/>
      <c r="S185" s="31"/>
      <c r="T185" s="31"/>
      <c r="U185" s="147"/>
      <c r="V185" s="147"/>
      <c r="W185" s="23"/>
      <c r="X185" s="147"/>
    </row>
    <row r="186" spans="2:24" ht="16" x14ac:dyDescent="0.15">
      <c r="B186" s="184"/>
      <c r="C186" s="22"/>
      <c r="D186" s="68"/>
      <c r="E186" s="52"/>
      <c r="F186" s="31"/>
      <c r="G186" s="31"/>
      <c r="H186" s="147"/>
      <c r="I186" s="23"/>
      <c r="J186" s="31"/>
      <c r="K186" s="23"/>
      <c r="L186" s="23"/>
      <c r="M186" s="55"/>
      <c r="N186" s="55"/>
      <c r="O186" s="65"/>
      <c r="P186" s="65"/>
      <c r="Q186" s="185"/>
      <c r="R186" s="31"/>
      <c r="S186" s="31"/>
      <c r="T186" s="31"/>
      <c r="U186" s="147"/>
      <c r="V186" s="147"/>
      <c r="W186" s="23"/>
      <c r="X186" s="147"/>
    </row>
    <row r="187" spans="2:24" ht="16" x14ac:dyDescent="0.15">
      <c r="B187" s="184"/>
      <c r="C187" s="22"/>
      <c r="D187" s="68"/>
      <c r="E187" s="52"/>
      <c r="F187" s="31"/>
      <c r="G187" s="31"/>
      <c r="H187" s="147"/>
      <c r="I187" s="23"/>
      <c r="J187" s="31"/>
      <c r="K187" s="23"/>
      <c r="L187" s="23"/>
      <c r="M187" s="55"/>
      <c r="N187" s="55"/>
      <c r="O187" s="65"/>
      <c r="P187" s="65"/>
      <c r="Q187" s="185"/>
      <c r="R187" s="31"/>
      <c r="S187" s="31"/>
      <c r="T187" s="31"/>
      <c r="U187" s="147"/>
      <c r="V187" s="147"/>
      <c r="W187" s="23"/>
      <c r="X187" s="147"/>
    </row>
    <row r="188" spans="2:24" ht="16" x14ac:dyDescent="0.15">
      <c r="B188" s="184"/>
      <c r="C188" s="22"/>
      <c r="D188" s="68"/>
      <c r="E188" s="52"/>
      <c r="F188" s="31"/>
      <c r="G188" s="31"/>
      <c r="H188" s="147"/>
      <c r="I188" s="23"/>
      <c r="J188" s="31"/>
      <c r="K188" s="23"/>
      <c r="L188" s="23"/>
      <c r="M188" s="55"/>
      <c r="N188" s="55"/>
      <c r="O188" s="65"/>
      <c r="P188" s="65"/>
      <c r="Q188" s="185"/>
      <c r="R188" s="31"/>
      <c r="S188" s="31"/>
      <c r="T188" s="31"/>
      <c r="U188" s="147"/>
      <c r="V188" s="147"/>
      <c r="W188" s="23"/>
      <c r="X188" s="147"/>
    </row>
    <row r="189" spans="2:24" ht="16" x14ac:dyDescent="0.15">
      <c r="B189" s="184"/>
      <c r="C189" s="22"/>
      <c r="D189" s="68"/>
      <c r="E189" s="52"/>
      <c r="F189" s="31"/>
      <c r="G189" s="31"/>
      <c r="H189" s="147"/>
      <c r="I189" s="23"/>
      <c r="J189" s="31"/>
      <c r="K189" s="23"/>
      <c r="L189" s="23"/>
      <c r="M189" s="55"/>
      <c r="N189" s="55"/>
      <c r="O189" s="65"/>
      <c r="P189" s="65"/>
      <c r="Q189" s="185"/>
      <c r="R189" s="31"/>
      <c r="S189" s="31"/>
      <c r="T189" s="31"/>
      <c r="U189" s="147"/>
      <c r="V189" s="147"/>
      <c r="W189" s="23"/>
      <c r="X189" s="147"/>
    </row>
    <row r="190" spans="2:24" ht="16" x14ac:dyDescent="0.15">
      <c r="B190" s="184"/>
      <c r="C190" s="22"/>
      <c r="D190" s="68"/>
      <c r="E190" s="52"/>
      <c r="F190" s="31"/>
      <c r="G190" s="31"/>
      <c r="H190" s="147"/>
      <c r="I190" s="23"/>
      <c r="J190" s="31"/>
      <c r="K190" s="23"/>
      <c r="L190" s="23"/>
      <c r="M190" s="55"/>
      <c r="N190" s="55"/>
      <c r="O190" s="65"/>
      <c r="P190" s="65"/>
      <c r="Q190" s="185"/>
      <c r="R190" s="31"/>
      <c r="S190" s="31"/>
      <c r="T190" s="31"/>
      <c r="U190" s="147"/>
      <c r="V190" s="147"/>
      <c r="W190" s="23"/>
      <c r="X190" s="147"/>
    </row>
    <row r="191" spans="2:24" ht="16" x14ac:dyDescent="0.15">
      <c r="B191" s="184"/>
      <c r="C191" s="22"/>
      <c r="D191" s="68"/>
      <c r="E191" s="52"/>
      <c r="F191" s="31"/>
      <c r="G191" s="31"/>
      <c r="H191" s="147"/>
      <c r="I191" s="23"/>
      <c r="J191" s="31"/>
      <c r="K191" s="23"/>
      <c r="L191" s="23"/>
      <c r="M191" s="55"/>
      <c r="N191" s="55"/>
      <c r="O191" s="65"/>
      <c r="P191" s="65"/>
      <c r="Q191" s="185"/>
      <c r="R191" s="31"/>
      <c r="S191" s="31"/>
      <c r="T191" s="31"/>
      <c r="U191" s="147"/>
      <c r="V191" s="147"/>
      <c r="W191" s="23"/>
      <c r="X191" s="147"/>
    </row>
    <row r="192" spans="2:24" ht="16" x14ac:dyDescent="0.15">
      <c r="B192" s="184"/>
      <c r="C192" s="22"/>
      <c r="D192" s="68"/>
      <c r="E192" s="52"/>
      <c r="F192" s="31"/>
      <c r="G192" s="31"/>
      <c r="H192" s="147"/>
      <c r="I192" s="23"/>
      <c r="J192" s="31"/>
      <c r="K192" s="23"/>
      <c r="L192" s="23"/>
      <c r="M192" s="55"/>
      <c r="N192" s="55"/>
      <c r="O192" s="65"/>
      <c r="P192" s="65"/>
      <c r="Q192" s="185"/>
      <c r="R192" s="31"/>
      <c r="S192" s="31"/>
      <c r="T192" s="31"/>
      <c r="U192" s="147"/>
      <c r="V192" s="147"/>
      <c r="W192" s="23"/>
      <c r="X192" s="147"/>
    </row>
    <row r="193" spans="2:24" ht="16" x14ac:dyDescent="0.15">
      <c r="B193" s="184"/>
      <c r="C193" s="22"/>
      <c r="D193" s="68"/>
      <c r="E193" s="52"/>
      <c r="F193" s="31"/>
      <c r="G193" s="31"/>
      <c r="H193" s="147"/>
      <c r="I193" s="23"/>
      <c r="J193" s="31"/>
      <c r="K193" s="23"/>
      <c r="L193" s="23"/>
      <c r="M193" s="55"/>
      <c r="N193" s="55"/>
      <c r="O193" s="65"/>
      <c r="P193" s="65"/>
      <c r="Q193" s="185"/>
      <c r="R193" s="31"/>
      <c r="S193" s="31"/>
      <c r="T193" s="31"/>
      <c r="U193" s="147"/>
      <c r="V193" s="147"/>
      <c r="W193" s="23"/>
      <c r="X193" s="147"/>
    </row>
    <row r="194" spans="2:24" ht="16" x14ac:dyDescent="0.15">
      <c r="B194" s="184"/>
      <c r="C194" s="22"/>
      <c r="D194" s="68"/>
      <c r="E194" s="52"/>
      <c r="F194" s="31"/>
      <c r="G194" s="31"/>
      <c r="H194" s="147"/>
      <c r="I194" s="23"/>
      <c r="J194" s="31"/>
      <c r="K194" s="23"/>
      <c r="L194" s="23"/>
      <c r="M194" s="55"/>
      <c r="N194" s="55"/>
      <c r="O194" s="65"/>
      <c r="P194" s="65"/>
      <c r="Q194" s="185"/>
      <c r="R194" s="31"/>
      <c r="S194" s="31"/>
      <c r="T194" s="31"/>
      <c r="U194" s="147"/>
      <c r="V194" s="147"/>
      <c r="W194" s="23"/>
      <c r="X194" s="147"/>
    </row>
    <row r="195" spans="2:24" ht="16" x14ac:dyDescent="0.15">
      <c r="B195" s="184"/>
      <c r="C195" s="22"/>
      <c r="D195" s="68"/>
      <c r="E195" s="52"/>
      <c r="F195" s="31"/>
      <c r="G195" s="31"/>
      <c r="H195" s="147"/>
      <c r="I195" s="23"/>
      <c r="J195" s="31"/>
      <c r="K195" s="23"/>
      <c r="L195" s="23"/>
      <c r="M195" s="55"/>
      <c r="N195" s="55"/>
      <c r="O195" s="65"/>
      <c r="P195" s="65"/>
      <c r="Q195" s="185"/>
      <c r="R195" s="31"/>
      <c r="S195" s="31"/>
      <c r="T195" s="31"/>
      <c r="U195" s="147"/>
      <c r="V195" s="147"/>
      <c r="W195" s="23"/>
      <c r="X195" s="147"/>
    </row>
    <row r="196" spans="2:24" ht="16" x14ac:dyDescent="0.15">
      <c r="B196" s="184"/>
      <c r="C196" s="22"/>
      <c r="D196" s="68"/>
      <c r="E196" s="52"/>
      <c r="F196" s="31"/>
      <c r="G196" s="31"/>
      <c r="H196" s="147"/>
      <c r="I196" s="23"/>
      <c r="J196" s="31"/>
      <c r="K196" s="23"/>
      <c r="L196" s="23"/>
      <c r="M196" s="55"/>
      <c r="N196" s="55"/>
      <c r="O196" s="65"/>
      <c r="P196" s="65"/>
      <c r="Q196" s="185"/>
      <c r="R196" s="31"/>
      <c r="S196" s="31"/>
      <c r="T196" s="31"/>
      <c r="U196" s="147"/>
      <c r="V196" s="147"/>
      <c r="W196" s="23"/>
      <c r="X196" s="147"/>
    </row>
    <row r="197" spans="2:24" ht="16" x14ac:dyDescent="0.15">
      <c r="B197" s="174"/>
      <c r="C197" s="175"/>
      <c r="D197" s="176"/>
      <c r="E197" s="177"/>
      <c r="F197" s="178"/>
      <c r="G197" s="178"/>
      <c r="H197" s="179"/>
      <c r="I197" s="180"/>
      <c r="J197" s="178"/>
      <c r="K197" s="180"/>
      <c r="L197" s="180"/>
      <c r="M197" s="181"/>
      <c r="N197" s="181"/>
      <c r="O197" s="182"/>
      <c r="P197" s="182"/>
      <c r="Q197" s="183"/>
      <c r="R197" s="178"/>
      <c r="S197" s="178"/>
      <c r="T197" s="178"/>
      <c r="U197" s="179"/>
      <c r="V197" s="179"/>
      <c r="W197" s="180"/>
      <c r="X197" s="179"/>
    </row>
    <row r="198" spans="2:24" ht="16" x14ac:dyDescent="0.15">
      <c r="B198" s="174"/>
      <c r="C198" s="175"/>
      <c r="D198" s="176"/>
      <c r="E198" s="177"/>
      <c r="F198" s="178"/>
      <c r="G198" s="178"/>
      <c r="H198" s="179"/>
      <c r="I198" s="180"/>
      <c r="J198" s="178"/>
      <c r="K198" s="180"/>
      <c r="L198" s="180"/>
      <c r="M198" s="181"/>
      <c r="N198" s="181"/>
      <c r="O198" s="182"/>
      <c r="P198" s="182"/>
      <c r="Q198" s="183"/>
      <c r="R198" s="178"/>
      <c r="S198" s="178"/>
      <c r="T198" s="178"/>
      <c r="U198" s="179"/>
      <c r="V198" s="179"/>
      <c r="W198" s="180"/>
      <c r="X198" s="179"/>
    </row>
    <row r="199" spans="2:24" ht="16" x14ac:dyDescent="0.15">
      <c r="B199" s="174"/>
      <c r="C199" s="175"/>
      <c r="D199" s="176"/>
      <c r="E199" s="177"/>
      <c r="F199" s="178"/>
      <c r="G199" s="178"/>
      <c r="H199" s="179"/>
      <c r="I199" s="180"/>
      <c r="J199" s="178"/>
      <c r="K199" s="180"/>
      <c r="L199" s="180"/>
      <c r="M199" s="181"/>
      <c r="N199" s="181"/>
      <c r="O199" s="182"/>
      <c r="P199" s="182"/>
      <c r="Q199" s="183"/>
      <c r="R199" s="178"/>
      <c r="S199" s="178"/>
      <c r="T199" s="178"/>
      <c r="U199" s="179"/>
      <c r="V199" s="179"/>
      <c r="W199" s="180"/>
      <c r="X199" s="179"/>
    </row>
    <row r="200" spans="2:24" ht="16" x14ac:dyDescent="0.15">
      <c r="B200" s="174"/>
      <c r="C200" s="175"/>
      <c r="D200" s="176"/>
      <c r="E200" s="177"/>
      <c r="F200" s="178"/>
      <c r="G200" s="178"/>
      <c r="H200" s="179"/>
      <c r="I200" s="180"/>
      <c r="J200" s="178"/>
      <c r="K200" s="180"/>
      <c r="L200" s="180"/>
      <c r="M200" s="181"/>
      <c r="N200" s="181"/>
      <c r="O200" s="182"/>
      <c r="P200" s="182"/>
      <c r="Q200" s="183"/>
      <c r="R200" s="178"/>
      <c r="S200" s="178"/>
      <c r="T200" s="178"/>
      <c r="U200" s="179"/>
      <c r="V200" s="179"/>
      <c r="W200" s="180"/>
      <c r="X200" s="179"/>
    </row>
    <row r="201" spans="2:24" ht="16" x14ac:dyDescent="0.15">
      <c r="B201" s="174"/>
      <c r="C201" s="175"/>
      <c r="D201" s="176"/>
      <c r="E201" s="177"/>
      <c r="F201" s="178"/>
      <c r="G201" s="178"/>
      <c r="H201" s="179"/>
      <c r="I201" s="180"/>
      <c r="J201" s="178"/>
      <c r="K201" s="180"/>
      <c r="L201" s="180"/>
      <c r="M201" s="181"/>
      <c r="N201" s="181"/>
      <c r="O201" s="182"/>
      <c r="P201" s="182"/>
      <c r="Q201" s="183"/>
      <c r="R201" s="178"/>
      <c r="S201" s="178"/>
      <c r="T201" s="178"/>
      <c r="U201" s="179"/>
      <c r="V201" s="179"/>
      <c r="W201" s="180"/>
      <c r="X201" s="179"/>
    </row>
    <row r="202" spans="2:24" ht="16" x14ac:dyDescent="0.15">
      <c r="B202" s="174"/>
      <c r="C202" s="175"/>
      <c r="D202" s="176"/>
      <c r="E202" s="177"/>
      <c r="F202" s="178"/>
      <c r="G202" s="178"/>
      <c r="H202" s="179"/>
      <c r="I202" s="180"/>
      <c r="J202" s="178"/>
      <c r="K202" s="180"/>
      <c r="L202" s="180"/>
      <c r="M202" s="181"/>
      <c r="N202" s="181"/>
      <c r="O202" s="182"/>
      <c r="P202" s="182"/>
      <c r="Q202" s="183"/>
      <c r="R202" s="178"/>
      <c r="S202" s="178"/>
      <c r="T202" s="178"/>
      <c r="U202" s="179"/>
      <c r="V202" s="179"/>
      <c r="W202" s="180"/>
      <c r="X202" s="179"/>
    </row>
    <row r="205" spans="2:24" ht="16" x14ac:dyDescent="0.2">
      <c r="E205" s="172">
        <v>19422014</v>
      </c>
      <c r="F205">
        <f>1.18*4599467.4</f>
        <v>5427371.5320000006</v>
      </c>
      <c r="G205">
        <f>+E205/F205</f>
        <v>3.5785303964335267</v>
      </c>
      <c r="M205" s="6"/>
    </row>
    <row r="206" spans="2:24" x14ac:dyDescent="0.15">
      <c r="F206">
        <f>1.18*4812126.04</f>
        <v>5678308.7271999996</v>
      </c>
      <c r="G206">
        <f>+E205/F206</f>
        <v>3.4203871140301816</v>
      </c>
    </row>
    <row r="208" spans="2:24" x14ac:dyDescent="0.15">
      <c r="F208" s="6">
        <v>8881828.6999999993</v>
      </c>
      <c r="G208">
        <f>+F208*1.18</f>
        <v>10480557.865999999</v>
      </c>
    </row>
    <row r="227" spans="6:7" ht="15" x14ac:dyDescent="0.2">
      <c r="F227" s="173">
        <v>2433824.02</v>
      </c>
      <c r="G227" t="e">
        <f>+F2021.18</f>
        <v>#NAME?</v>
      </c>
    </row>
    <row r="229" spans="6:7" x14ac:dyDescent="0.15">
      <c r="F229">
        <f>1.18*F227</f>
        <v>2871912.3435999998</v>
      </c>
    </row>
    <row r="231" spans="6:7" ht="15" x14ac:dyDescent="0.2">
      <c r="F231" s="173">
        <f>1.18*5794822.17</f>
        <v>6837890.1605999991</v>
      </c>
    </row>
  </sheetData>
  <mergeCells count="304">
    <mergeCell ref="V9:V10"/>
    <mergeCell ref="W9:W10"/>
    <mergeCell ref="X9:X10"/>
    <mergeCell ref="P9:P10"/>
    <mergeCell ref="E3:X3"/>
    <mergeCell ref="M4:M5"/>
    <mergeCell ref="N4:N5"/>
    <mergeCell ref="B6:B8"/>
    <mergeCell ref="C6:H7"/>
    <mergeCell ref="I6:J7"/>
    <mergeCell ref="K6:Q7"/>
    <mergeCell ref="R6:T7"/>
    <mergeCell ref="U6:X7"/>
    <mergeCell ref="H9:H10"/>
    <mergeCell ref="I9:I10"/>
    <mergeCell ref="J9:J10"/>
    <mergeCell ref="K9:K10"/>
    <mergeCell ref="L9:L10"/>
    <mergeCell ref="M9:M10"/>
    <mergeCell ref="B9:B10"/>
    <mergeCell ref="C9:C14"/>
    <mergeCell ref="D9:D10"/>
    <mergeCell ref="E9:E10"/>
    <mergeCell ref="F9:F10"/>
    <mergeCell ref="G9:G10"/>
    <mergeCell ref="O27:O28"/>
    <mergeCell ref="P27:P28"/>
    <mergeCell ref="Q16:Q19"/>
    <mergeCell ref="Q23:Q26"/>
    <mergeCell ref="Q9:Q10"/>
    <mergeCell ref="R9:R10"/>
    <mergeCell ref="U9:U10"/>
    <mergeCell ref="N9:N10"/>
    <mergeCell ref="O9:O10"/>
    <mergeCell ref="C15:C19"/>
    <mergeCell ref="B16:B19"/>
    <mergeCell ref="D16:D19"/>
    <mergeCell ref="E16:E19"/>
    <mergeCell ref="F16:F19"/>
    <mergeCell ref="H16:H19"/>
    <mergeCell ref="J16:J19"/>
    <mergeCell ref="N16:N19"/>
    <mergeCell ref="E37:E41"/>
    <mergeCell ref="F37:F41"/>
    <mergeCell ref="H37:H41"/>
    <mergeCell ref="J37:J41"/>
    <mergeCell ref="N37:N41"/>
    <mergeCell ref="C21:C26"/>
    <mergeCell ref="B23:B26"/>
    <mergeCell ref="D23:D26"/>
    <mergeCell ref="E23:E26"/>
    <mergeCell ref="F23:F26"/>
    <mergeCell ref="G23:G26"/>
    <mergeCell ref="H23:H26"/>
    <mergeCell ref="J23:J26"/>
    <mergeCell ref="N23:N26"/>
    <mergeCell ref="H27:H28"/>
    <mergeCell ref="O37:O38"/>
    <mergeCell ref="Q27:Q28"/>
    <mergeCell ref="C29:C30"/>
    <mergeCell ref="B32:B33"/>
    <mergeCell ref="C32:C33"/>
    <mergeCell ref="D32:D33"/>
    <mergeCell ref="E32:E33"/>
    <mergeCell ref="F32:F33"/>
    <mergeCell ref="G32:G33"/>
    <mergeCell ref="H32:H33"/>
    <mergeCell ref="K32:K33"/>
    <mergeCell ref="N32:N33"/>
    <mergeCell ref="Q32:Q33"/>
    <mergeCell ref="B27:B28"/>
    <mergeCell ref="C27:C28"/>
    <mergeCell ref="D27:D28"/>
    <mergeCell ref="E27:E28"/>
    <mergeCell ref="F27:F28"/>
    <mergeCell ref="G27:G28"/>
    <mergeCell ref="P37:P38"/>
    <mergeCell ref="Q37:Q38"/>
    <mergeCell ref="C34:C41"/>
    <mergeCell ref="B37:B41"/>
    <mergeCell ref="D37:D41"/>
    <mergeCell ref="B44:B47"/>
    <mergeCell ref="C44:C55"/>
    <mergeCell ref="D44:D47"/>
    <mergeCell ref="E44:E47"/>
    <mergeCell ref="F44:F47"/>
    <mergeCell ref="H44:H47"/>
    <mergeCell ref="J44:J47"/>
    <mergeCell ref="N44:N47"/>
    <mergeCell ref="Q44:Q47"/>
    <mergeCell ref="B48:B49"/>
    <mergeCell ref="D48:D49"/>
    <mergeCell ref="E48:E49"/>
    <mergeCell ref="F48:F49"/>
    <mergeCell ref="H48:H49"/>
    <mergeCell ref="J48:J49"/>
    <mergeCell ref="K48:K49"/>
    <mergeCell ref="N54:N55"/>
    <mergeCell ref="Q54:Q55"/>
    <mergeCell ref="J54:J55"/>
    <mergeCell ref="B54:B55"/>
    <mergeCell ref="D54:D55"/>
    <mergeCell ref="E54:E55"/>
    <mergeCell ref="F54:F55"/>
    <mergeCell ref="H54:H55"/>
    <mergeCell ref="S48:S49"/>
    <mergeCell ref="T48:T49"/>
    <mergeCell ref="B50:B53"/>
    <mergeCell ref="E50:E53"/>
    <mergeCell ref="F50:F53"/>
    <mergeCell ref="G50:G53"/>
    <mergeCell ref="H50:H53"/>
    <mergeCell ref="J50:J53"/>
    <mergeCell ref="N50:N53"/>
    <mergeCell ref="Q50:Q53"/>
    <mergeCell ref="L48:L49"/>
    <mergeCell ref="N48:N49"/>
    <mergeCell ref="O48:O49"/>
    <mergeCell ref="P48:P49"/>
    <mergeCell ref="Q48:Q49"/>
    <mergeCell ref="R48:R49"/>
    <mergeCell ref="J77:J83"/>
    <mergeCell ref="Q77:Q83"/>
    <mergeCell ref="B84:B85"/>
    <mergeCell ref="D84:D85"/>
    <mergeCell ref="E84:E85"/>
    <mergeCell ref="F84:F85"/>
    <mergeCell ref="H84:H85"/>
    <mergeCell ref="J84:J85"/>
    <mergeCell ref="N84:N85"/>
    <mergeCell ref="Q84:Q85"/>
    <mergeCell ref="C56:C130"/>
    <mergeCell ref="D56:D75"/>
    <mergeCell ref="E56:E75"/>
    <mergeCell ref="B77:B83"/>
    <mergeCell ref="D77:D83"/>
    <mergeCell ref="E77:E83"/>
    <mergeCell ref="F77:F83"/>
    <mergeCell ref="H77:H83"/>
    <mergeCell ref="Q94:Q95"/>
    <mergeCell ref="B96:B100"/>
    <mergeCell ref="D96:D100"/>
    <mergeCell ref="E96:E100"/>
    <mergeCell ref="F96:F100"/>
    <mergeCell ref="G96:G100"/>
    <mergeCell ref="H96:H100"/>
    <mergeCell ref="N86:N92"/>
    <mergeCell ref="Q86:Q92"/>
    <mergeCell ref="B94:B95"/>
    <mergeCell ref="D94:D95"/>
    <mergeCell ref="E94:E95"/>
    <mergeCell ref="F94:F95"/>
    <mergeCell ref="G94:G95"/>
    <mergeCell ref="H94:H95"/>
    <mergeCell ref="J94:J95"/>
    <mergeCell ref="N94:N95"/>
    <mergeCell ref="B86:B92"/>
    <mergeCell ref="D86:D92"/>
    <mergeCell ref="E86:E92"/>
    <mergeCell ref="F86:F92"/>
    <mergeCell ref="H86:H92"/>
    <mergeCell ref="J86:J92"/>
    <mergeCell ref="N101:N104"/>
    <mergeCell ref="Q101:Q104"/>
    <mergeCell ref="B109:B111"/>
    <mergeCell ref="D109:D111"/>
    <mergeCell ref="E109:E111"/>
    <mergeCell ref="F109:F111"/>
    <mergeCell ref="G109:G111"/>
    <mergeCell ref="H109:H111"/>
    <mergeCell ref="J109:J111"/>
    <mergeCell ref="K109:K111"/>
    <mergeCell ref="B101:B104"/>
    <mergeCell ref="D101:D104"/>
    <mergeCell ref="E101:E104"/>
    <mergeCell ref="F101:F104"/>
    <mergeCell ref="H101:H104"/>
    <mergeCell ref="J101:J104"/>
    <mergeCell ref="N109:N111"/>
    <mergeCell ref="U109:U111"/>
    <mergeCell ref="V109:V111"/>
    <mergeCell ref="W109:W111"/>
    <mergeCell ref="X109:X111"/>
    <mergeCell ref="B113:B115"/>
    <mergeCell ref="D113:D115"/>
    <mergeCell ref="E113:E115"/>
    <mergeCell ref="F113:F115"/>
    <mergeCell ref="G113:G115"/>
    <mergeCell ref="W113:W115"/>
    <mergeCell ref="X113:X115"/>
    <mergeCell ref="J113:J115"/>
    <mergeCell ref="K113:K115"/>
    <mergeCell ref="N113:N115"/>
    <mergeCell ref="U113:U115"/>
    <mergeCell ref="V113:V115"/>
    <mergeCell ref="B131:B132"/>
    <mergeCell ref="C131:C132"/>
    <mergeCell ref="D131:D132"/>
    <mergeCell ref="E131:E132"/>
    <mergeCell ref="F131:F132"/>
    <mergeCell ref="G131:G132"/>
    <mergeCell ref="H131:H132"/>
    <mergeCell ref="I131:I132"/>
    <mergeCell ref="H113:H115"/>
    <mergeCell ref="X131:X132"/>
    <mergeCell ref="B133:B134"/>
    <mergeCell ref="C133:C134"/>
    <mergeCell ref="D133:D134"/>
    <mergeCell ref="E133:E134"/>
    <mergeCell ref="F133:F134"/>
    <mergeCell ref="G133:G134"/>
    <mergeCell ref="H133:H134"/>
    <mergeCell ref="J133:J134"/>
    <mergeCell ref="K133:K134"/>
    <mergeCell ref="P131:P132"/>
    <mergeCell ref="Q131:Q132"/>
    <mergeCell ref="R131:R132"/>
    <mergeCell ref="U131:U132"/>
    <mergeCell ref="V131:V132"/>
    <mergeCell ref="W131:W132"/>
    <mergeCell ref="J131:J132"/>
    <mergeCell ref="K131:K132"/>
    <mergeCell ref="L131:L132"/>
    <mergeCell ref="M131:M132"/>
    <mergeCell ref="N131:N132"/>
    <mergeCell ref="O131:O132"/>
    <mergeCell ref="L133:L134"/>
    <mergeCell ref="M133:M134"/>
    <mergeCell ref="N133:N134"/>
    <mergeCell ref="Q133:Q134"/>
    <mergeCell ref="B135:B136"/>
    <mergeCell ref="C135:C138"/>
    <mergeCell ref="E135:E136"/>
    <mergeCell ref="F135:F136"/>
    <mergeCell ref="J135:J136"/>
    <mergeCell ref="B137:B138"/>
    <mergeCell ref="J141:J144"/>
    <mergeCell ref="T137:T138"/>
    <mergeCell ref="U137:U138"/>
    <mergeCell ref="V137:V138"/>
    <mergeCell ref="W137:W138"/>
    <mergeCell ref="X137:X138"/>
    <mergeCell ref="C139:C144"/>
    <mergeCell ref="J139:J140"/>
    <mergeCell ref="N141:N144"/>
    <mergeCell ref="N137:N138"/>
    <mergeCell ref="O137:O138"/>
    <mergeCell ref="P137:P138"/>
    <mergeCell ref="Q137:Q138"/>
    <mergeCell ref="R137:R138"/>
    <mergeCell ref="S137:S138"/>
    <mergeCell ref="D137:D138"/>
    <mergeCell ref="E137:E138"/>
    <mergeCell ref="F137:F138"/>
    <mergeCell ref="H137:H138"/>
    <mergeCell ref="J137:J138"/>
    <mergeCell ref="L137:L138"/>
    <mergeCell ref="C145:C146"/>
    <mergeCell ref="C147:C148"/>
    <mergeCell ref="D147:D148"/>
    <mergeCell ref="E147:E148"/>
    <mergeCell ref="F147:F148"/>
    <mergeCell ref="H147:H148"/>
    <mergeCell ref="B141:B144"/>
    <mergeCell ref="D141:D144"/>
    <mergeCell ref="E141:E144"/>
    <mergeCell ref="F141:F144"/>
    <mergeCell ref="H141:H144"/>
    <mergeCell ref="N147:N148"/>
    <mergeCell ref="C149:C150"/>
    <mergeCell ref="C152:C155"/>
    <mergeCell ref="B153:B154"/>
    <mergeCell ref="D153:D154"/>
    <mergeCell ref="E153:E154"/>
    <mergeCell ref="F153:F154"/>
    <mergeCell ref="H153:H154"/>
    <mergeCell ref="J153:J154"/>
    <mergeCell ref="B171:B176"/>
    <mergeCell ref="N159:N160"/>
    <mergeCell ref="O159:O160"/>
    <mergeCell ref="P159:P160"/>
    <mergeCell ref="Q159:Q160"/>
    <mergeCell ref="B162:B163"/>
    <mergeCell ref="E162:E163"/>
    <mergeCell ref="F162:F163"/>
    <mergeCell ref="C156:C168"/>
    <mergeCell ref="B159:B160"/>
    <mergeCell ref="D159:D160"/>
    <mergeCell ref="E159:E160"/>
    <mergeCell ref="F159:F160"/>
    <mergeCell ref="H159:H160"/>
    <mergeCell ref="W171:W172"/>
    <mergeCell ref="X171:X172"/>
    <mergeCell ref="Q171:Q172"/>
    <mergeCell ref="R171:R172"/>
    <mergeCell ref="S171:S172"/>
    <mergeCell ref="T171:T172"/>
    <mergeCell ref="U171:U172"/>
    <mergeCell ref="V171:V172"/>
    <mergeCell ref="C171:C176"/>
    <mergeCell ref="D171:D172"/>
    <mergeCell ref="E171:E176"/>
    <mergeCell ref="F171:F176"/>
    <mergeCell ref="N171:N176"/>
  </mergeCells>
  <hyperlinks>
    <hyperlink ref="W178" r:id="rId1" xr:uid="{00000000-0004-0000-0100-000000000000}"/>
    <hyperlink ref="W179" r:id="rId2" xr:uid="{00000000-0004-0000-0100-000001000000}"/>
  </hyperlinks>
  <printOptions horizontalCentered="1" verticalCentered="1"/>
  <pageMargins left="0" right="0" top="0" bottom="0" header="0" footer="0"/>
  <pageSetup scale="52" fitToHeight="0" orientation="landscape" horizontalDpi="300" verticalDpi="300" r:id="rId3"/>
  <headerFooter alignWithMargins="0">
    <oddHeader>&amp;L&amp;G&amp;R&amp;F</oddHeader>
  </headerFooter>
  <drawing r:id="rId4"/>
  <legacyDrawing r:id="rId5"/>
  <legacyDrawingHF r:id="rId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Resumen</vt:lpstr>
      <vt:lpstr>Obras</vt:lpstr>
      <vt:lpstr>Mov. de Tierras</vt:lpstr>
      <vt:lpstr>Mantenimiento</vt:lpstr>
      <vt:lpstr>Alq. Equipos, Maquinarias</vt:lpstr>
      <vt:lpstr>USD</vt:lpstr>
      <vt:lpstr>'Alq. Equipos, Maquinarias'!Área_de_impresión</vt:lpstr>
      <vt:lpstr>Mantenimiento!Área_de_impresión</vt:lpstr>
      <vt:lpstr>'Mov. de Tierras'!Área_de_impresión</vt:lpstr>
      <vt:lpstr>Obras!Área_de_impresión</vt:lpstr>
      <vt:lpstr>Resumen!Área_de_impresión</vt:lpstr>
      <vt:lpstr>USD!Área_de_impresión</vt:lpstr>
      <vt:lpstr>USD!Títulos_a_imprimir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BOUBY</dc:creator>
  <cp:lastModifiedBy>Microsoft Office User</cp:lastModifiedBy>
  <dcterms:created xsi:type="dcterms:W3CDTF">2021-04-21T13:33:19Z</dcterms:created>
  <dcterms:modified xsi:type="dcterms:W3CDTF">2023-09-07T17:50:35Z</dcterms:modified>
</cp:coreProperties>
</file>